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010" tabRatio="862" firstSheet="19" activeTab="19"/>
  </bookViews>
  <sheets>
    <sheet name="Пр.Окт.146,1" sheetId="1" state="hidden" r:id="rId1"/>
    <sheet name="Пр.Окт.146,2" sheetId="2" r:id="rId2"/>
    <sheet name="Пр.Окт.150" sheetId="4" r:id="rId3"/>
    <sheet name="Пр.Окт.150,1" sheetId="5" r:id="rId4"/>
    <sheet name="Пр.Окт.150,2" sheetId="6" r:id="rId5"/>
    <sheet name="Пр.Окт.158" sheetId="8" state="hidden" r:id="rId6"/>
    <sheet name="Блюх.13" sheetId="9" state="hidden" r:id="rId7"/>
    <sheet name="Блюх.15" sheetId="11" r:id="rId8"/>
    <sheet name="Блюх.15,1" sheetId="10" r:id="rId9"/>
    <sheet name="Блюх.17" sheetId="12" state="hidden" r:id="rId10"/>
    <sheet name="Блюх.28" sheetId="13" state="hidden" r:id="rId11"/>
    <sheet name="Блюх.30" sheetId="14" state="hidden" r:id="rId12"/>
    <sheet name="Блюх.32" sheetId="15" state="hidden" r:id="rId13"/>
    <sheet name="Блюх.32,1" sheetId="16" state="hidden" r:id="rId14"/>
    <sheet name="Блюх.34" sheetId="17" state="hidden" r:id="rId15"/>
    <sheet name="Блюх.36" sheetId="18" state="hidden" r:id="rId16"/>
    <sheet name="Блюх.36,1" sheetId="41" state="hidden" r:id="rId17"/>
    <sheet name="Блюх.38" sheetId="19" state="hidden" r:id="rId18"/>
    <sheet name="Блюх.38,1" sheetId="35" state="hidden" r:id="rId19"/>
    <sheet name="Кузнец.5" sheetId="36" r:id="rId20"/>
    <sheet name="Кузнец.6" sheetId="37" state="hidden" r:id="rId21"/>
    <sheet name="Кузнец.7" sheetId="39" state="hidden" r:id="rId22"/>
    <sheet name="Кузнец.9" sheetId="24" state="hidden" r:id="rId23"/>
    <sheet name="Российск.56а" sheetId="25" state="hidden" r:id="rId24"/>
    <sheet name="Российск.56б" sheetId="26" r:id="rId25"/>
    <sheet name="Российск.56в" sheetId="27" r:id="rId26"/>
    <sheet name="Российск.58" sheetId="28" state="hidden" r:id="rId27"/>
    <sheet name="Российск.60б" sheetId="31" r:id="rId28"/>
    <sheet name="Российск.62" sheetId="29" state="hidden" r:id="rId29"/>
    <sheet name="Российск.64" sheetId="30" state="hidden" r:id="rId30"/>
    <sheet name="Российск.66" sheetId="32" state="hidden" r:id="rId31"/>
    <sheet name="Российск.66б" sheetId="33" r:id="rId32"/>
    <sheet name="Российск.66в" sheetId="34" state="hidden" r:id="rId33"/>
  </sheets>
  <calcPr calcId="125725"/>
</workbook>
</file>

<file path=xl/calcChain.xml><?xml version="1.0" encoding="utf-8"?>
<calcChain xmlns="http://schemas.openxmlformats.org/spreadsheetml/2006/main">
  <c r="C68" i="33"/>
  <c r="C56" i="31"/>
  <c r="C49" i="39"/>
  <c r="C52" i="37"/>
  <c r="C46" i="36"/>
  <c r="C44"/>
  <c r="C44" i="41"/>
  <c r="C44" i="18"/>
  <c r="C50" i="13"/>
  <c r="C52"/>
  <c r="C49" i="12"/>
  <c r="C36"/>
  <c r="C46" i="10"/>
  <c r="C49" i="11"/>
  <c r="C55" i="9"/>
  <c r="C63" i="8"/>
  <c r="C46" i="6"/>
  <c r="C65" i="5"/>
  <c r="C45"/>
  <c r="C70" i="4"/>
  <c r="C46" i="2"/>
  <c r="C61" i="1" l="1"/>
  <c r="C65" i="34"/>
  <c r="C65" i="32"/>
  <c r="C65" i="30"/>
  <c r="C65" i="29"/>
  <c r="C76" i="31"/>
  <c r="C65" i="28"/>
  <c r="C65" i="27"/>
  <c r="C75" i="26"/>
  <c r="C65" i="25"/>
  <c r="C72" i="24"/>
  <c r="C70" i="39"/>
  <c r="C71" i="37"/>
  <c r="C65" i="36"/>
  <c r="C68" i="35"/>
  <c r="C65" i="19"/>
  <c r="C64" i="41"/>
  <c r="C65" i="18"/>
  <c r="C65" i="17"/>
  <c r="C65" i="16"/>
  <c r="C65" i="15"/>
  <c r="C65" i="14"/>
  <c r="C72" i="13"/>
  <c r="C65" i="12"/>
  <c r="C65" i="10"/>
  <c r="C69" i="11"/>
  <c r="C76" i="9"/>
  <c r="C82" i="8"/>
  <c r="C65" i="6"/>
  <c r="C89" i="4"/>
  <c r="C65" i="2"/>
  <c r="C80" i="1"/>
  <c r="C64" i="34"/>
  <c r="C53"/>
  <c r="C51"/>
  <c r="C48"/>
  <c r="C23"/>
  <c r="C22"/>
  <c r="C21"/>
  <c r="C22" i="24"/>
  <c r="C54" i="37"/>
  <c r="C15"/>
  <c r="C20"/>
  <c r="C29"/>
  <c r="C28"/>
  <c r="K27"/>
  <c r="C55" i="13"/>
  <c r="C29"/>
  <c r="C18" i="34"/>
  <c r="C55"/>
  <c r="C54"/>
  <c r="C52"/>
  <c r="C45"/>
  <c r="C47"/>
  <c r="C46"/>
  <c r="C44"/>
  <c r="C41"/>
  <c r="C40"/>
  <c r="C39"/>
  <c r="C36"/>
  <c r="C19"/>
  <c r="C70" i="33"/>
  <c r="C69"/>
  <c r="C67"/>
  <c r="C58"/>
  <c r="C57"/>
  <c r="C56"/>
  <c r="C55"/>
  <c r="C54"/>
  <c r="C51"/>
  <c r="C50"/>
  <c r="C49"/>
  <c r="C48"/>
  <c r="C47"/>
  <c r="C44"/>
  <c r="C43"/>
  <c r="C42"/>
  <c r="C39"/>
  <c r="C15"/>
  <c r="C26"/>
  <c r="C25"/>
  <c r="C23"/>
  <c r="C22"/>
  <c r="C19"/>
  <c r="C18"/>
  <c r="C67" i="32"/>
  <c r="C66"/>
  <c r="C64"/>
  <c r="C55"/>
  <c r="C54"/>
  <c r="C53"/>
  <c r="C52"/>
  <c r="C51"/>
  <c r="C48"/>
  <c r="C47"/>
  <c r="C46"/>
  <c r="C45"/>
  <c r="C44"/>
  <c r="C41"/>
  <c r="C40"/>
  <c r="C39"/>
  <c r="C36"/>
  <c r="C23"/>
  <c r="C22"/>
  <c r="C19"/>
  <c r="C18"/>
  <c r="C67" i="30"/>
  <c r="C66"/>
  <c r="C64"/>
  <c r="C55"/>
  <c r="C54"/>
  <c r="C53"/>
  <c r="C52"/>
  <c r="C51"/>
  <c r="C47"/>
  <c r="C48"/>
  <c r="C46"/>
  <c r="C45"/>
  <c r="C44"/>
  <c r="C39"/>
  <c r="C41"/>
  <c r="C40"/>
  <c r="C36"/>
  <c r="C19"/>
  <c r="C18"/>
  <c r="C67" i="29"/>
  <c r="C66"/>
  <c r="C64"/>
  <c r="C55"/>
  <c r="C54"/>
  <c r="C53"/>
  <c r="C52"/>
  <c r="C51"/>
  <c r="C47"/>
  <c r="C48"/>
  <c r="C45"/>
  <c r="C44"/>
  <c r="C41"/>
  <c r="C40"/>
  <c r="C39"/>
  <c r="C36"/>
  <c r="C19"/>
  <c r="C18"/>
  <c r="C75" i="31"/>
  <c r="C66"/>
  <c r="C65"/>
  <c r="C64"/>
  <c r="C63"/>
  <c r="C62"/>
  <c r="C60"/>
  <c r="C77" s="1"/>
  <c r="C59"/>
  <c r="C58"/>
  <c r="C57"/>
  <c r="C54"/>
  <c r="C53"/>
  <c r="C52"/>
  <c r="C51"/>
  <c r="C48"/>
  <c r="C42"/>
  <c r="C41"/>
  <c r="C39"/>
  <c r="C15"/>
  <c r="C26"/>
  <c r="C25"/>
  <c r="C35"/>
  <c r="C34"/>
  <c r="C23"/>
  <c r="C22"/>
  <c r="C32"/>
  <c r="C31"/>
  <c r="C29"/>
  <c r="C28"/>
  <c r="C19"/>
  <c r="C18"/>
  <c r="C18" i="28"/>
  <c r="C67"/>
  <c r="C66"/>
  <c r="C64"/>
  <c r="C55"/>
  <c r="C54"/>
  <c r="C53"/>
  <c r="C52"/>
  <c r="C51"/>
  <c r="C47"/>
  <c r="C48"/>
  <c r="C44"/>
  <c r="C45"/>
  <c r="C42"/>
  <c r="C41"/>
  <c r="C40"/>
  <c r="C39"/>
  <c r="C36"/>
  <c r="C19"/>
  <c r="C67" i="27"/>
  <c r="C66"/>
  <c r="C64"/>
  <c r="C55"/>
  <c r="C54"/>
  <c r="C53"/>
  <c r="C52"/>
  <c r="C51"/>
  <c r="C48"/>
  <c r="C47"/>
  <c r="C44"/>
  <c r="C45"/>
  <c r="C42"/>
  <c r="C41"/>
  <c r="C40"/>
  <c r="C39"/>
  <c r="C36"/>
  <c r="C30"/>
  <c r="C29"/>
  <c r="C28"/>
  <c r="C27"/>
  <c r="C26"/>
  <c r="C19"/>
  <c r="C18"/>
  <c r="C77" i="26"/>
  <c r="C76"/>
  <c r="C74"/>
  <c r="C65"/>
  <c r="C64"/>
  <c r="C63"/>
  <c r="C62"/>
  <c r="C61"/>
  <c r="C58"/>
  <c r="C57"/>
  <c r="C54"/>
  <c r="C53"/>
  <c r="C50"/>
  <c r="C49"/>
  <c r="C48"/>
  <c r="C45"/>
  <c r="C15"/>
  <c r="C23"/>
  <c r="C22"/>
  <c r="C29"/>
  <c r="C28"/>
  <c r="C32"/>
  <c r="C31"/>
  <c r="C26"/>
  <c r="C25"/>
  <c r="C19"/>
  <c r="C18"/>
  <c r="C67" i="25"/>
  <c r="C66"/>
  <c r="C64"/>
  <c r="C55"/>
  <c r="C54"/>
  <c r="C53"/>
  <c r="C52"/>
  <c r="C51"/>
  <c r="C48"/>
  <c r="C47"/>
  <c r="C45"/>
  <c r="C44"/>
  <c r="C40"/>
  <c r="C41"/>
  <c r="C39"/>
  <c r="C36"/>
  <c r="C19"/>
  <c r="C18"/>
  <c r="C74" i="24"/>
  <c r="C73"/>
  <c r="C71"/>
  <c r="C62"/>
  <c r="C61"/>
  <c r="C60"/>
  <c r="C59"/>
  <c r="C58"/>
  <c r="C55"/>
  <c r="C54"/>
  <c r="C51"/>
  <c r="C50"/>
  <c r="C46"/>
  <c r="C47"/>
  <c r="C45"/>
  <c r="C42"/>
  <c r="C29"/>
  <c r="C28"/>
  <c r="C26"/>
  <c r="C25"/>
  <c r="C23"/>
  <c r="C19"/>
  <c r="C18"/>
  <c r="C69" i="39"/>
  <c r="C60"/>
  <c r="C59"/>
  <c r="C58"/>
  <c r="C57"/>
  <c r="C56"/>
  <c r="C53"/>
  <c r="C52"/>
  <c r="C50"/>
  <c r="C45"/>
  <c r="C46"/>
  <c r="C44"/>
  <c r="C41"/>
  <c r="C29"/>
  <c r="C28"/>
  <c r="C26"/>
  <c r="C25"/>
  <c r="C22"/>
  <c r="C23"/>
  <c r="C19"/>
  <c r="C18"/>
  <c r="K19"/>
  <c r="C70" i="37"/>
  <c r="C61"/>
  <c r="C60"/>
  <c r="C59"/>
  <c r="C58"/>
  <c r="C57"/>
  <c r="C53"/>
  <c r="C50"/>
  <c r="C51"/>
  <c r="C46"/>
  <c r="C47"/>
  <c r="C45"/>
  <c r="C42"/>
  <c r="C26"/>
  <c r="C25"/>
  <c r="C23"/>
  <c r="C22"/>
  <c r="C19"/>
  <c r="C18"/>
  <c r="K19"/>
  <c r="C64" i="36"/>
  <c r="C55"/>
  <c r="C54"/>
  <c r="C53"/>
  <c r="C52"/>
  <c r="C51"/>
  <c r="C48"/>
  <c r="C47"/>
  <c r="C45"/>
  <c r="C42"/>
  <c r="C40"/>
  <c r="C43" i="35"/>
  <c r="C41" i="36"/>
  <c r="C39"/>
  <c r="C36"/>
  <c r="C30"/>
  <c r="C29"/>
  <c r="C28"/>
  <c r="C27"/>
  <c r="C26"/>
  <c r="C23"/>
  <c r="C22"/>
  <c r="C19"/>
  <c r="C18"/>
  <c r="C67" i="35"/>
  <c r="C58"/>
  <c r="C57"/>
  <c r="C56"/>
  <c r="C55"/>
  <c r="C54"/>
  <c r="C51"/>
  <c r="C50"/>
  <c r="C47"/>
  <c r="C48"/>
  <c r="C44"/>
  <c r="C42"/>
  <c r="C39"/>
  <c r="C26"/>
  <c r="C25"/>
  <c r="C23"/>
  <c r="C22"/>
  <c r="C19"/>
  <c r="C18"/>
  <c r="C67" i="19"/>
  <c r="C66"/>
  <c r="C64"/>
  <c r="C55"/>
  <c r="C54"/>
  <c r="C53"/>
  <c r="C52"/>
  <c r="C51"/>
  <c r="C48"/>
  <c r="C47"/>
  <c r="C45"/>
  <c r="C44"/>
  <c r="C40"/>
  <c r="C41"/>
  <c r="C39"/>
  <c r="C36"/>
  <c r="C23"/>
  <c r="C22"/>
  <c r="C19"/>
  <c r="C18"/>
  <c r="K19"/>
  <c r="C63" i="41"/>
  <c r="C54"/>
  <c r="C53"/>
  <c r="C52"/>
  <c r="C51"/>
  <c r="C50"/>
  <c r="C46"/>
  <c r="C47"/>
  <c r="C45"/>
  <c r="C48"/>
  <c r="C40"/>
  <c r="C41"/>
  <c r="C39"/>
  <c r="C36"/>
  <c r="C19"/>
  <c r="C18"/>
  <c r="K19"/>
  <c r="C64" i="18"/>
  <c r="C55"/>
  <c r="C54"/>
  <c r="C53"/>
  <c r="C52"/>
  <c r="C51"/>
  <c r="C47"/>
  <c r="C48"/>
  <c r="C45"/>
  <c r="C41"/>
  <c r="C40"/>
  <c r="C39"/>
  <c r="C36"/>
  <c r="C19"/>
  <c r="C18"/>
  <c r="C67" i="17"/>
  <c r="C66"/>
  <c r="C64"/>
  <c r="C55"/>
  <c r="C54"/>
  <c r="C53"/>
  <c r="C52"/>
  <c r="C51"/>
  <c r="C51" i="16"/>
  <c r="C47" i="17"/>
  <c r="C48"/>
  <c r="C45"/>
  <c r="C44"/>
  <c r="C40"/>
  <c r="C41"/>
  <c r="C39"/>
  <c r="C36"/>
  <c r="C19"/>
  <c r="C18"/>
  <c r="K19"/>
  <c r="C67" i="16"/>
  <c r="C66"/>
  <c r="C64"/>
  <c r="C55"/>
  <c r="C54"/>
  <c r="C53"/>
  <c r="C52"/>
  <c r="C47"/>
  <c r="C48"/>
  <c r="C44"/>
  <c r="C45"/>
  <c r="C40"/>
  <c r="C41"/>
  <c r="C39"/>
  <c r="C36"/>
  <c r="C19"/>
  <c r="C18"/>
  <c r="C67" i="15"/>
  <c r="C66"/>
  <c r="C64"/>
  <c r="C55"/>
  <c r="C54"/>
  <c r="C53"/>
  <c r="C52"/>
  <c r="C51"/>
  <c r="C47"/>
  <c r="C48"/>
  <c r="C44"/>
  <c r="C45"/>
  <c r="C41"/>
  <c r="C40"/>
  <c r="C39"/>
  <c r="C36"/>
  <c r="C19"/>
  <c r="C18"/>
  <c r="K19"/>
  <c r="C67" i="14"/>
  <c r="C66"/>
  <c r="C64"/>
  <c r="C55"/>
  <c r="C54"/>
  <c r="C53"/>
  <c r="C52"/>
  <c r="C51"/>
  <c r="C48"/>
  <c r="C47"/>
  <c r="C45"/>
  <c r="C44"/>
  <c r="C41"/>
  <c r="C40"/>
  <c r="C39"/>
  <c r="C36"/>
  <c r="C19"/>
  <c r="C18"/>
  <c r="C71" i="13"/>
  <c r="C62"/>
  <c r="C61"/>
  <c r="C60"/>
  <c r="C59"/>
  <c r="C58"/>
  <c r="C56"/>
  <c r="C54"/>
  <c r="C51"/>
  <c r="C46"/>
  <c r="C47"/>
  <c r="C45"/>
  <c r="C42"/>
  <c r="C28"/>
  <c r="C26"/>
  <c r="C25"/>
  <c r="C22"/>
  <c r="C23"/>
  <c r="C19"/>
  <c r="C19" i="12"/>
  <c r="C18" i="13"/>
  <c r="C64" i="12"/>
  <c r="C55"/>
  <c r="C54"/>
  <c r="C53"/>
  <c r="C52"/>
  <c r="C51"/>
  <c r="C48"/>
  <c r="C47"/>
  <c r="C45"/>
  <c r="C44"/>
  <c r="C42"/>
  <c r="C40"/>
  <c r="C41"/>
  <c r="C39"/>
  <c r="C23"/>
  <c r="C18"/>
  <c r="C64" i="10"/>
  <c r="C55"/>
  <c r="C54"/>
  <c r="C53"/>
  <c r="C52"/>
  <c r="C51"/>
  <c r="C48"/>
  <c r="C47"/>
  <c r="C45"/>
  <c r="C44"/>
  <c r="C42"/>
  <c r="C41"/>
  <c r="C40"/>
  <c r="C39"/>
  <c r="C36"/>
  <c r="C30"/>
  <c r="C29"/>
  <c r="C28"/>
  <c r="C27"/>
  <c r="C26"/>
  <c r="C19"/>
  <c r="C18"/>
  <c r="C57" i="11"/>
  <c r="C68"/>
  <c r="C59"/>
  <c r="C58"/>
  <c r="C56"/>
  <c r="C55"/>
  <c r="C52"/>
  <c r="C51"/>
  <c r="C48"/>
  <c r="C47"/>
  <c r="C45"/>
  <c r="C44"/>
  <c r="C43"/>
  <c r="C42"/>
  <c r="C39"/>
  <c r="K19"/>
  <c r="C33"/>
  <c r="C32"/>
  <c r="C31"/>
  <c r="C30"/>
  <c r="C29"/>
  <c r="C23"/>
  <c r="C22"/>
  <c r="C26"/>
  <c r="C25"/>
  <c r="C19"/>
  <c r="C18"/>
  <c r="C78" i="9"/>
  <c r="C77"/>
  <c r="C75"/>
  <c r="C66"/>
  <c r="C65"/>
  <c r="C64"/>
  <c r="C63"/>
  <c r="C62"/>
  <c r="C59"/>
  <c r="C58"/>
  <c r="C56"/>
  <c r="C54"/>
  <c r="C53"/>
  <c r="C49"/>
  <c r="C50"/>
  <c r="C48"/>
  <c r="C47"/>
  <c r="K20"/>
  <c r="C46"/>
  <c r="K21"/>
  <c r="C45"/>
  <c r="K19"/>
  <c r="C32"/>
  <c r="C31"/>
  <c r="C26"/>
  <c r="C25"/>
  <c r="C23"/>
  <c r="C22"/>
  <c r="C29"/>
  <c r="C28"/>
  <c r="C19"/>
  <c r="C18"/>
  <c r="C53" i="8"/>
  <c r="K20"/>
  <c r="C78" i="31" l="1"/>
  <c r="C65" i="41"/>
  <c r="C66" s="1"/>
  <c r="C27" i="37"/>
  <c r="C73" i="13"/>
  <c r="C74" s="1"/>
  <c r="C81" i="8"/>
  <c r="C72"/>
  <c r="C71"/>
  <c r="C70"/>
  <c r="C69"/>
  <c r="C68"/>
  <c r="C15"/>
  <c r="C65"/>
  <c r="C64"/>
  <c r="C62"/>
  <c r="C61"/>
  <c r="C60"/>
  <c r="C59"/>
  <c r="C56"/>
  <c r="C55"/>
  <c r="C54"/>
  <c r="C52"/>
  <c r="K21"/>
  <c r="J24"/>
  <c r="C51" l="1"/>
  <c r="C32"/>
  <c r="C31"/>
  <c r="C29"/>
  <c r="C28"/>
  <c r="C35"/>
  <c r="C34"/>
  <c r="C26"/>
  <c r="C25"/>
  <c r="C23"/>
  <c r="C22"/>
  <c r="C19"/>
  <c r="C18"/>
  <c r="C64" i="6" l="1"/>
  <c r="C55"/>
  <c r="C54"/>
  <c r="C53"/>
  <c r="C52"/>
  <c r="C51"/>
  <c r="C47"/>
  <c r="C48"/>
  <c r="C45"/>
  <c r="C44"/>
  <c r="C42"/>
  <c r="C41"/>
  <c r="C40"/>
  <c r="C39"/>
  <c r="C36"/>
  <c r="C31"/>
  <c r="C29"/>
  <c r="C28"/>
  <c r="C27"/>
  <c r="C26"/>
  <c r="C19"/>
  <c r="C18"/>
  <c r="C64" i="5"/>
  <c r="C55"/>
  <c r="C54"/>
  <c r="C53"/>
  <c r="C52"/>
  <c r="C51"/>
  <c r="C48"/>
  <c r="C47"/>
  <c r="C44"/>
  <c r="C42"/>
  <c r="C41"/>
  <c r="C40"/>
  <c r="C39"/>
  <c r="C36"/>
  <c r="C19"/>
  <c r="C18"/>
  <c r="C88" i="4"/>
  <c r="C79"/>
  <c r="C78"/>
  <c r="C77"/>
  <c r="C76"/>
  <c r="C75"/>
  <c r="C72"/>
  <c r="C71"/>
  <c r="C69"/>
  <c r="C68"/>
  <c r="C66"/>
  <c r="C65"/>
  <c r="C64"/>
  <c r="C63"/>
  <c r="C60"/>
  <c r="C55"/>
  <c r="C53"/>
  <c r="C52"/>
  <c r="C51"/>
  <c r="C50"/>
  <c r="C38"/>
  <c r="C37"/>
  <c r="C47"/>
  <c r="C46"/>
  <c r="C41"/>
  <c r="C40"/>
  <c r="C29"/>
  <c r="C28"/>
  <c r="C26"/>
  <c r="C25"/>
  <c r="C32"/>
  <c r="C31"/>
  <c r="C23"/>
  <c r="C22"/>
  <c r="C35"/>
  <c r="C34"/>
  <c r="C44"/>
  <c r="C43"/>
  <c r="C19"/>
  <c r="C18"/>
  <c r="K19"/>
  <c r="C22" i="2"/>
  <c r="C18"/>
  <c r="C53"/>
  <c r="C64"/>
  <c r="C55"/>
  <c r="C54"/>
  <c r="C52"/>
  <c r="C51"/>
  <c r="C48"/>
  <c r="C47"/>
  <c r="C45"/>
  <c r="C44"/>
  <c r="C42"/>
  <c r="C41"/>
  <c r="C40"/>
  <c r="C39"/>
  <c r="C36"/>
  <c r="C31"/>
  <c r="C29"/>
  <c r="C28"/>
  <c r="C27"/>
  <c r="C26"/>
  <c r="C23"/>
  <c r="C19"/>
  <c r="K19"/>
  <c r="C82" i="1" l="1"/>
  <c r="C81"/>
  <c r="C79"/>
  <c r="C70"/>
  <c r="C69"/>
  <c r="C68"/>
  <c r="C67"/>
  <c r="C66"/>
  <c r="C63"/>
  <c r="C62"/>
  <c r="C60"/>
  <c r="C59"/>
  <c r="C56"/>
  <c r="C55"/>
  <c r="C54"/>
  <c r="C51"/>
  <c r="C25"/>
  <c r="C15"/>
  <c r="C26"/>
  <c r="C32"/>
  <c r="C31"/>
  <c r="C35"/>
  <c r="C34"/>
  <c r="C29"/>
  <c r="C28"/>
  <c r="C38"/>
  <c r="C37"/>
  <c r="C23"/>
  <c r="C22"/>
  <c r="C19"/>
  <c r="C18"/>
  <c r="K19" l="1"/>
  <c r="C43" i="34" l="1"/>
  <c r="C42"/>
  <c r="C46" i="33" l="1"/>
  <c r="C45"/>
  <c r="C42" i="32"/>
  <c r="C43"/>
  <c r="C43" i="30"/>
  <c r="C42"/>
  <c r="C46" i="29" l="1"/>
  <c r="C43"/>
  <c r="C42"/>
  <c r="C46" i="28"/>
  <c r="C43"/>
  <c r="C46" i="27"/>
  <c r="C43"/>
  <c r="C56" i="26" l="1"/>
  <c r="C52"/>
  <c r="C51"/>
  <c r="C46" i="25" l="1"/>
  <c r="C43"/>
  <c r="C42"/>
  <c r="C52" i="24"/>
  <c r="C49"/>
  <c r="C48"/>
  <c r="C27"/>
  <c r="K27"/>
  <c r="C51" i="39"/>
  <c r="C48"/>
  <c r="C47"/>
  <c r="C49" i="37"/>
  <c r="C48"/>
  <c r="C43" i="36"/>
  <c r="C46" i="35" l="1"/>
  <c r="C45"/>
  <c r="C43" i="19"/>
  <c r="C42"/>
  <c r="C43" i="18"/>
  <c r="C42"/>
  <c r="C43" i="17"/>
  <c r="C42"/>
  <c r="C46" i="16"/>
  <c r="C43"/>
  <c r="C42"/>
  <c r="C46" i="14"/>
  <c r="C43"/>
  <c r="C42"/>
  <c r="C49" i="13"/>
  <c r="C48"/>
  <c r="C46" i="12"/>
  <c r="C43"/>
  <c r="C22"/>
  <c r="C43" i="10"/>
  <c r="C46" i="11"/>
  <c r="C52" i="9" l="1"/>
  <c r="C51"/>
  <c r="C30"/>
  <c r="C58" i="8"/>
  <c r="C57"/>
  <c r="C43" i="6" l="1"/>
  <c r="C67" i="4" l="1"/>
  <c r="C54"/>
  <c r="C45" l="1"/>
  <c r="C43" i="2"/>
  <c r="C30"/>
  <c r="C58" i="1" l="1"/>
  <c r="C57"/>
  <c r="C63" i="15" l="1"/>
  <c r="C46"/>
  <c r="C43"/>
  <c r="C42"/>
  <c r="C31"/>
  <c r="C30"/>
  <c r="C29"/>
  <c r="C28"/>
  <c r="C27"/>
  <c r="C26"/>
  <c r="C25" s="1"/>
  <c r="K21"/>
  <c r="K20"/>
  <c r="C20"/>
  <c r="C24" l="1"/>
  <c r="C33" s="1"/>
  <c r="C56"/>
  <c r="C49"/>
  <c r="C68" l="1"/>
  <c r="C69" s="1"/>
  <c r="C70" s="1"/>
  <c r="C71" s="1"/>
  <c r="C73" l="1"/>
  <c r="C72"/>
  <c r="C43" i="5" l="1"/>
  <c r="K19"/>
  <c r="C43" i="41" l="1"/>
  <c r="C42"/>
  <c r="C55" i="31" l="1"/>
  <c r="C43"/>
  <c r="C40"/>
  <c r="C38"/>
  <c r="K19" l="1"/>
  <c r="K24" i="34"/>
  <c r="K21"/>
  <c r="K20"/>
  <c r="K19"/>
  <c r="K24" i="33"/>
  <c r="K21"/>
  <c r="K20"/>
  <c r="K19"/>
  <c r="K24" i="32"/>
  <c r="K21"/>
  <c r="K20"/>
  <c r="K19"/>
  <c r="C24" i="33" l="1"/>
  <c r="K24" i="30"/>
  <c r="K21"/>
  <c r="K20"/>
  <c r="K19"/>
  <c r="K24" i="29"/>
  <c r="K21"/>
  <c r="K20"/>
  <c r="K19"/>
  <c r="K24" i="28"/>
  <c r="K21"/>
  <c r="K20"/>
  <c r="K19"/>
  <c r="K24" i="27"/>
  <c r="K21"/>
  <c r="K20"/>
  <c r="K19"/>
  <c r="K24" i="26" l="1"/>
  <c r="K21"/>
  <c r="K20"/>
  <c r="K19"/>
  <c r="K24" i="25"/>
  <c r="K21"/>
  <c r="K20"/>
  <c r="K19"/>
  <c r="K24" i="24"/>
  <c r="K21"/>
  <c r="K20"/>
  <c r="K19"/>
  <c r="K24" i="39"/>
  <c r="K21"/>
  <c r="K20"/>
  <c r="K24" i="37"/>
  <c r="K21"/>
  <c r="K20"/>
  <c r="K24" i="36"/>
  <c r="K21"/>
  <c r="K20"/>
  <c r="K19"/>
  <c r="K24" i="35"/>
  <c r="K21"/>
  <c r="K20"/>
  <c r="K19"/>
  <c r="C14" i="19"/>
  <c r="K21"/>
  <c r="K20"/>
  <c r="C62" i="41"/>
  <c r="C31"/>
  <c r="C30"/>
  <c r="C29"/>
  <c r="C28"/>
  <c r="C27"/>
  <c r="C26"/>
  <c r="K21"/>
  <c r="K20"/>
  <c r="C20"/>
  <c r="K21" i="18"/>
  <c r="K20"/>
  <c r="K19"/>
  <c r="K21" i="17"/>
  <c r="K20"/>
  <c r="C14" i="16"/>
  <c r="K21"/>
  <c r="K20"/>
  <c r="K19"/>
  <c r="K21" i="14"/>
  <c r="K20"/>
  <c r="K19"/>
  <c r="K21" i="13"/>
  <c r="K20"/>
  <c r="K19"/>
  <c r="K21" i="12"/>
  <c r="K20"/>
  <c r="K19"/>
  <c r="K21" i="10"/>
  <c r="K20"/>
  <c r="K19"/>
  <c r="K21" i="11"/>
  <c r="K20"/>
  <c r="J24" i="9"/>
  <c r="C55" i="41" l="1"/>
  <c r="C25"/>
  <c r="C24" i="35"/>
  <c r="C24" i="41"/>
  <c r="C33" s="1"/>
  <c r="C33" i="8"/>
  <c r="K19"/>
  <c r="K19" i="6" l="1"/>
  <c r="C67" i="41" l="1"/>
  <c r="C68" s="1"/>
  <c r="C69" s="1"/>
  <c r="C70" s="1"/>
  <c r="C72" s="1"/>
  <c r="C74" i="31"/>
  <c r="C71" i="41" l="1"/>
  <c r="C33" i="31" l="1"/>
  <c r="C68" i="39"/>
  <c r="C61"/>
  <c r="C36"/>
  <c r="C35"/>
  <c r="C34"/>
  <c r="C33"/>
  <c r="C32"/>
  <c r="C27"/>
  <c r="C21" l="1"/>
  <c r="C24"/>
  <c r="C31"/>
  <c r="C54"/>
  <c r="C69" i="37"/>
  <c r="C37"/>
  <c r="C36"/>
  <c r="C35"/>
  <c r="C34"/>
  <c r="C33"/>
  <c r="C32"/>
  <c r="C63" i="36"/>
  <c r="C49"/>
  <c r="C31"/>
  <c r="C66" i="35"/>
  <c r="C49"/>
  <c r="C52" s="1"/>
  <c r="C34"/>
  <c r="C33"/>
  <c r="C32"/>
  <c r="C31"/>
  <c r="C30"/>
  <c r="C29"/>
  <c r="C71" i="39" l="1"/>
  <c r="C72" s="1"/>
  <c r="C66" i="36"/>
  <c r="C67" s="1"/>
  <c r="C69" i="35"/>
  <c r="C70" s="1"/>
  <c r="C20" i="39"/>
  <c r="C30" s="1"/>
  <c r="C38" s="1"/>
  <c r="C31" i="37"/>
  <c r="C62"/>
  <c r="C24"/>
  <c r="C21" i="35"/>
  <c r="C28"/>
  <c r="C59"/>
  <c r="C21" i="36"/>
  <c r="C20" s="1"/>
  <c r="C24" s="1"/>
  <c r="C25"/>
  <c r="C56"/>
  <c r="C21" i="37"/>
  <c r="C55"/>
  <c r="C72" l="1"/>
  <c r="C73" s="1"/>
  <c r="C74" s="1"/>
  <c r="C75" s="1"/>
  <c r="C76" s="1"/>
  <c r="C77" s="1"/>
  <c r="C71" i="35"/>
  <c r="C72" s="1"/>
  <c r="C73" s="1"/>
  <c r="C74" s="1"/>
  <c r="C68" i="36"/>
  <c r="C69" s="1"/>
  <c r="C70" s="1"/>
  <c r="C71" s="1"/>
  <c r="C73" s="1"/>
  <c r="C73" i="39"/>
  <c r="C74" s="1"/>
  <c r="C75" s="1"/>
  <c r="C76" s="1"/>
  <c r="C78" s="1"/>
  <c r="C20" i="35"/>
  <c r="C27" s="1"/>
  <c r="C36" s="1"/>
  <c r="C30" i="37"/>
  <c r="C39" s="1"/>
  <c r="C33" i="36"/>
  <c r="C77" i="39" l="1"/>
  <c r="C79" i="37"/>
  <c r="C78"/>
  <c r="C72" i="36"/>
  <c r="C76" i="35"/>
  <c r="C75"/>
  <c r="C56" i="12" l="1"/>
  <c r="C57" i="9"/>
  <c r="C66" i="8"/>
  <c r="C56" i="5"/>
  <c r="C71" i="1"/>
  <c r="C29" i="34"/>
  <c r="C28"/>
  <c r="C26"/>
  <c r="C63"/>
  <c r="C56"/>
  <c r="C31"/>
  <c r="C30"/>
  <c r="C27"/>
  <c r="C20"/>
  <c r="C29" i="33"/>
  <c r="C66"/>
  <c r="C34"/>
  <c r="C33"/>
  <c r="C32"/>
  <c r="C31"/>
  <c r="C30"/>
  <c r="C56" i="32"/>
  <c r="C29"/>
  <c r="C63"/>
  <c r="C31"/>
  <c r="C30"/>
  <c r="C28"/>
  <c r="C27"/>
  <c r="C26"/>
  <c r="C24" i="31"/>
  <c r="C27"/>
  <c r="C29" i="30"/>
  <c r="C63"/>
  <c r="C31"/>
  <c r="C30"/>
  <c r="C28"/>
  <c r="C27"/>
  <c r="C26"/>
  <c r="C20"/>
  <c r="C56" i="29"/>
  <c r="C63"/>
  <c r="C31"/>
  <c r="C30"/>
  <c r="C29"/>
  <c r="C28"/>
  <c r="C27"/>
  <c r="C26"/>
  <c r="C20"/>
  <c r="C56" i="28"/>
  <c r="C49"/>
  <c r="C30"/>
  <c r="C28"/>
  <c r="C27"/>
  <c r="C26"/>
  <c r="C63"/>
  <c r="C31"/>
  <c r="C29"/>
  <c r="C20"/>
  <c r="C56" i="27"/>
  <c r="C63"/>
  <c r="C31"/>
  <c r="C20"/>
  <c r="C30" i="26"/>
  <c r="C73"/>
  <c r="C55"/>
  <c r="C40"/>
  <c r="C39"/>
  <c r="C38"/>
  <c r="C37"/>
  <c r="C36"/>
  <c r="C35"/>
  <c r="C24"/>
  <c r="C21"/>
  <c r="C26" i="25"/>
  <c r="C63"/>
  <c r="C31"/>
  <c r="C30"/>
  <c r="C29"/>
  <c r="C28"/>
  <c r="C27"/>
  <c r="C20"/>
  <c r="C70" i="24"/>
  <c r="C53"/>
  <c r="C37"/>
  <c r="C36"/>
  <c r="C35"/>
  <c r="C34"/>
  <c r="C33"/>
  <c r="C32"/>
  <c r="C56" i="19"/>
  <c r="C21"/>
  <c r="C20" s="1"/>
  <c r="C63"/>
  <c r="C46"/>
  <c r="C31"/>
  <c r="C30"/>
  <c r="C29"/>
  <c r="C28"/>
  <c r="C27"/>
  <c r="C26"/>
  <c r="C56" i="18"/>
  <c r="C63"/>
  <c r="C46"/>
  <c r="C31"/>
  <c r="C30"/>
  <c r="C29"/>
  <c r="C28"/>
  <c r="C27"/>
  <c r="C26"/>
  <c r="C20"/>
  <c r="C56" i="17"/>
  <c r="C63"/>
  <c r="C46"/>
  <c r="C31"/>
  <c r="C30"/>
  <c r="C29"/>
  <c r="C28"/>
  <c r="C27"/>
  <c r="C26"/>
  <c r="C20"/>
  <c r="C56" i="16"/>
  <c r="C63"/>
  <c r="C31"/>
  <c r="C30"/>
  <c r="C29"/>
  <c r="C28"/>
  <c r="C27"/>
  <c r="C26"/>
  <c r="C20"/>
  <c r="C63" i="14"/>
  <c r="C31"/>
  <c r="C30"/>
  <c r="C29"/>
  <c r="C28"/>
  <c r="C27"/>
  <c r="C26"/>
  <c r="C20"/>
  <c r="C70" i="13"/>
  <c r="C53"/>
  <c r="C34"/>
  <c r="C37"/>
  <c r="C36"/>
  <c r="C35"/>
  <c r="C33"/>
  <c r="C32"/>
  <c r="C63" i="12"/>
  <c r="C31"/>
  <c r="C30"/>
  <c r="C29"/>
  <c r="C28"/>
  <c r="C27"/>
  <c r="C26"/>
  <c r="C60" i="11"/>
  <c r="C50"/>
  <c r="C67"/>
  <c r="C34"/>
  <c r="C56" i="10"/>
  <c r="C31"/>
  <c r="C20"/>
  <c r="C63"/>
  <c r="C40" i="9"/>
  <c r="C39"/>
  <c r="C74"/>
  <c r="C38"/>
  <c r="C37"/>
  <c r="C36"/>
  <c r="C35"/>
  <c r="C27" i="8"/>
  <c r="C21"/>
  <c r="C80"/>
  <c r="C46"/>
  <c r="C45"/>
  <c r="C44"/>
  <c r="C43"/>
  <c r="C42"/>
  <c r="C41"/>
  <c r="C30"/>
  <c r="C24"/>
  <c r="C63" i="6"/>
  <c r="C30"/>
  <c r="C20"/>
  <c r="C27" i="5"/>
  <c r="C63"/>
  <c r="C31"/>
  <c r="C30"/>
  <c r="C29"/>
  <c r="C28"/>
  <c r="C26"/>
  <c r="C20"/>
  <c r="C42" i="4"/>
  <c r="C87"/>
  <c r="C36"/>
  <c r="C30"/>
  <c r="C27"/>
  <c r="C24"/>
  <c r="C21"/>
  <c r="C63" i="2"/>
  <c r="C45" i="1"/>
  <c r="C46"/>
  <c r="C42"/>
  <c r="C78"/>
  <c r="C44"/>
  <c r="C43"/>
  <c r="C41"/>
  <c r="C83" i="8" l="1"/>
  <c r="C84" s="1"/>
  <c r="C34" i="26"/>
  <c r="C28" i="33"/>
  <c r="C40" i="1"/>
  <c r="C40" i="8"/>
  <c r="C25" i="19"/>
  <c r="C21" i="13"/>
  <c r="C49" i="4"/>
  <c r="C20" i="8"/>
  <c r="C39" s="1"/>
  <c r="C48" s="1"/>
  <c r="C64" i="1"/>
  <c r="C60" i="9"/>
  <c r="C24" i="13"/>
  <c r="C27"/>
  <c r="C49" i="17"/>
  <c r="C56" i="24"/>
  <c r="C25" i="27"/>
  <c r="C67" i="9"/>
  <c r="C21" i="2"/>
  <c r="C20" s="1"/>
  <c r="C24" s="1"/>
  <c r="C63" i="24"/>
  <c r="C52" i="33"/>
  <c r="C56" i="30"/>
  <c r="C80" i="4"/>
  <c r="C49" i="29"/>
  <c r="C59" i="33"/>
  <c r="C49" i="30"/>
  <c r="C25" i="29"/>
  <c r="C24" i="27"/>
  <c r="C66" i="26"/>
  <c r="C56" i="25"/>
  <c r="C24" i="24"/>
  <c r="C56" i="14"/>
  <c r="C63" i="13"/>
  <c r="C31"/>
  <c r="C53" i="11"/>
  <c r="C70" s="1"/>
  <c r="C71" s="1"/>
  <c r="C73" i="8"/>
  <c r="C25" i="6"/>
  <c r="C56"/>
  <c r="C56" i="2"/>
  <c r="C25" i="34"/>
  <c r="C21" i="33"/>
  <c r="C20" s="1"/>
  <c r="C27" s="1"/>
  <c r="C36" s="1"/>
  <c r="C25" i="32"/>
  <c r="C21"/>
  <c r="C20" s="1"/>
  <c r="C24" s="1"/>
  <c r="C33" s="1"/>
  <c r="C25" i="28"/>
  <c r="C25" i="25"/>
  <c r="C49" i="14"/>
  <c r="C28" i="11"/>
  <c r="C21"/>
  <c r="C24" i="6"/>
  <c r="C49" i="5"/>
  <c r="C30" i="1"/>
  <c r="C36"/>
  <c r="C49" i="34"/>
  <c r="C24" i="30"/>
  <c r="C25"/>
  <c r="C24" i="29"/>
  <c r="C33" s="1"/>
  <c r="C24" i="28"/>
  <c r="C33" s="1"/>
  <c r="C27" i="26"/>
  <c r="C24" i="25"/>
  <c r="C33" s="1"/>
  <c r="C31" i="24"/>
  <c r="C24" i="18"/>
  <c r="C25"/>
  <c r="C24" i="17"/>
  <c r="C25"/>
  <c r="C25" i="16"/>
  <c r="C25" i="12"/>
  <c r="C21"/>
  <c r="C20" s="1"/>
  <c r="C24" s="1"/>
  <c r="C24" i="9"/>
  <c r="C27"/>
  <c r="C49" i="2"/>
  <c r="C24" i="1"/>
  <c r="C67" i="31"/>
  <c r="C25" i="2"/>
  <c r="C24" i="16"/>
  <c r="C33" s="1"/>
  <c r="C24" i="34"/>
  <c r="C33" s="1"/>
  <c r="C49" i="32"/>
  <c r="C37" i="31"/>
  <c r="C30"/>
  <c r="C21"/>
  <c r="C49" i="27"/>
  <c r="C59" i="26"/>
  <c r="C49" i="25"/>
  <c r="C21" i="24"/>
  <c r="C20" s="1"/>
  <c r="C49" i="19"/>
  <c r="C24"/>
  <c r="C33" s="1"/>
  <c r="C49" i="18"/>
  <c r="C49" i="16"/>
  <c r="C24" i="14"/>
  <c r="C25"/>
  <c r="C24" i="11"/>
  <c r="C25" i="10"/>
  <c r="C49"/>
  <c r="C24"/>
  <c r="C34" i="9"/>
  <c r="C21"/>
  <c r="C49" i="6"/>
  <c r="C25" i="5"/>
  <c r="C24"/>
  <c r="C73" i="4"/>
  <c r="C39"/>
  <c r="C33"/>
  <c r="C33" i="1"/>
  <c r="C27"/>
  <c r="C21"/>
  <c r="C66" i="18" l="1"/>
  <c r="C67" s="1"/>
  <c r="C68" s="1"/>
  <c r="C67" i="10"/>
  <c r="C66"/>
  <c r="C66" i="6"/>
  <c r="C67" s="1"/>
  <c r="C66" i="5"/>
  <c r="C67" s="1"/>
  <c r="C68" s="1"/>
  <c r="C90" i="4"/>
  <c r="C91" s="1"/>
  <c r="C66" i="34"/>
  <c r="C67" s="1"/>
  <c r="C68" s="1"/>
  <c r="C69" s="1"/>
  <c r="C70" s="1"/>
  <c r="C71" s="1"/>
  <c r="C73" s="1"/>
  <c r="C66" i="12"/>
  <c r="C67" s="1"/>
  <c r="C66" i="2"/>
  <c r="C67" s="1"/>
  <c r="C68" s="1"/>
  <c r="C69" s="1"/>
  <c r="C70" s="1"/>
  <c r="C71" s="1"/>
  <c r="C73" s="1"/>
  <c r="C20" i="4"/>
  <c r="C68" i="10"/>
  <c r="C69" s="1"/>
  <c r="C70" s="1"/>
  <c r="C71" s="1"/>
  <c r="C73" s="1"/>
  <c r="C68" i="27"/>
  <c r="C68" i="32"/>
  <c r="C69" s="1"/>
  <c r="C70" s="1"/>
  <c r="C71" s="1"/>
  <c r="C73" s="1"/>
  <c r="C71" i="33"/>
  <c r="C72" s="1"/>
  <c r="C73" s="1"/>
  <c r="C74" s="1"/>
  <c r="C76" s="1"/>
  <c r="C83" i="1"/>
  <c r="C68" i="30"/>
  <c r="C68" i="29"/>
  <c r="C33" i="27"/>
  <c r="C78" i="26"/>
  <c r="C79" s="1"/>
  <c r="C80" s="1"/>
  <c r="C81" s="1"/>
  <c r="C83" s="1"/>
  <c r="C75" i="24"/>
  <c r="C76" s="1"/>
  <c r="C20" i="13"/>
  <c r="C30" s="1"/>
  <c r="C39" s="1"/>
  <c r="C72" i="11"/>
  <c r="C73" s="1"/>
  <c r="C74" s="1"/>
  <c r="C75" s="1"/>
  <c r="C77" s="1"/>
  <c r="C79" i="9"/>
  <c r="C20"/>
  <c r="C33" s="1"/>
  <c r="C42" s="1"/>
  <c r="C85" i="8"/>
  <c r="C33" i="6"/>
  <c r="C33" i="2"/>
  <c r="C20" i="31"/>
  <c r="C33" i="12"/>
  <c r="C33" i="18"/>
  <c r="C79" i="31"/>
  <c r="C33" i="17"/>
  <c r="C33" i="14"/>
  <c r="C48" i="4"/>
  <c r="C57" s="1"/>
  <c r="C20" i="1"/>
  <c r="C39" s="1"/>
  <c r="C48" s="1"/>
  <c r="C33" i="10"/>
  <c r="C20" i="11"/>
  <c r="C27" s="1"/>
  <c r="C36" s="1"/>
  <c r="C20" i="26"/>
  <c r="C33" s="1"/>
  <c r="C42" s="1"/>
  <c r="C68" i="28"/>
  <c r="C33" i="30"/>
  <c r="C30" i="24"/>
  <c r="C39" s="1"/>
  <c r="C36" i="31"/>
  <c r="C45" s="1"/>
  <c r="C33" i="5"/>
  <c r="C75" i="33" l="1"/>
  <c r="C86" i="8"/>
  <c r="C87" s="1"/>
  <c r="C88" s="1"/>
  <c r="C90" s="1"/>
  <c r="C72" i="2"/>
  <c r="C68" i="12"/>
  <c r="C69" s="1"/>
  <c r="C70" s="1"/>
  <c r="C68" i="16"/>
  <c r="C69" s="1"/>
  <c r="C70" s="1"/>
  <c r="C71" s="1"/>
  <c r="C73" s="1"/>
  <c r="C92" i="4"/>
  <c r="C93" s="1"/>
  <c r="C94" s="1"/>
  <c r="C95" s="1"/>
  <c r="C97" s="1"/>
  <c r="C72" i="34"/>
  <c r="C72" i="32"/>
  <c r="C82" i="26"/>
  <c r="C68" i="25"/>
  <c r="C69" s="1"/>
  <c r="C70" s="1"/>
  <c r="C71" s="1"/>
  <c r="C68" i="19"/>
  <c r="C69" s="1"/>
  <c r="C70" s="1"/>
  <c r="C71" s="1"/>
  <c r="C73" s="1"/>
  <c r="C68" i="17"/>
  <c r="C69" s="1"/>
  <c r="C70" s="1"/>
  <c r="C71" s="1"/>
  <c r="C68" i="14"/>
  <c r="C69" s="1"/>
  <c r="C70" s="1"/>
  <c r="C71" s="1"/>
  <c r="C73" s="1"/>
  <c r="C75" i="13"/>
  <c r="C76" s="1"/>
  <c r="C77" s="1"/>
  <c r="C78" s="1"/>
  <c r="C80" s="1"/>
  <c r="C72" i="10"/>
  <c r="C76" i="11"/>
  <c r="C68" i="6"/>
  <c r="C69" s="1"/>
  <c r="C70" s="1"/>
  <c r="C71" s="1"/>
  <c r="C73" s="1"/>
  <c r="C80" i="31"/>
  <c r="C69" i="30"/>
  <c r="C70" s="1"/>
  <c r="C71" s="1"/>
  <c r="C73" s="1"/>
  <c r="C69" i="29"/>
  <c r="C70" s="1"/>
  <c r="C71" s="1"/>
  <c r="C73" s="1"/>
  <c r="C69" i="28"/>
  <c r="C70" s="1"/>
  <c r="C71" s="1"/>
  <c r="C73" s="1"/>
  <c r="C69" i="27"/>
  <c r="C70" s="1"/>
  <c r="C71" s="1"/>
  <c r="C73" s="1"/>
  <c r="C77" i="24"/>
  <c r="C78" s="1"/>
  <c r="C80" s="1"/>
  <c r="C69" i="18"/>
  <c r="C70" s="1"/>
  <c r="C71" s="1"/>
  <c r="C73" s="1"/>
  <c r="C80" i="9"/>
  <c r="C81" s="1"/>
  <c r="C82" s="1"/>
  <c r="C84" s="1"/>
  <c r="C69" i="5"/>
  <c r="C70" s="1"/>
  <c r="C71" s="1"/>
  <c r="C73" s="1"/>
  <c r="C84" i="1"/>
  <c r="C85" s="1"/>
  <c r="C86" s="1"/>
  <c r="C88" s="1"/>
  <c r="C81" i="31" l="1"/>
  <c r="C82" s="1"/>
  <c r="C84" s="1"/>
  <c r="C73" i="25"/>
  <c r="C72"/>
  <c r="C72" i="17"/>
  <c r="C73"/>
  <c r="C71" i="12"/>
  <c r="C89" i="8"/>
  <c r="C72" i="6"/>
  <c r="C96" i="4"/>
  <c r="C72" i="16"/>
  <c r="C72" i="30"/>
  <c r="C72" i="29"/>
  <c r="C72" i="28"/>
  <c r="C72" i="27"/>
  <c r="C79" i="24"/>
  <c r="C72" i="19"/>
  <c r="C72" i="18"/>
  <c r="C72" i="14"/>
  <c r="C79" i="13"/>
  <c r="C83" i="9"/>
  <c r="C72" i="5"/>
  <c r="C87" i="1"/>
  <c r="C72" i="12" l="1"/>
  <c r="C73"/>
  <c r="C83" i="31"/>
</calcChain>
</file>

<file path=xl/sharedStrings.xml><?xml version="1.0" encoding="utf-8"?>
<sst xmlns="http://schemas.openxmlformats.org/spreadsheetml/2006/main" count="5053" uniqueCount="873">
  <si>
    <t>УТВЕРЖДАЮ</t>
  </si>
  <si>
    <t>Орджоникидзевского района"</t>
  </si>
  <si>
    <t>Общая площадь, кв. м.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</si>
  <si>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</si>
  <si>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</si>
  <si>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</si>
  <si>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</si>
  <si>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</si>
  <si>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</si>
  <si>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2. Начисление по нежилым помещениям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</si>
  <si>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</si>
  <si>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</si>
  <si>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</si>
  <si>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</si>
  <si>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</si>
  <si>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</si>
  <si>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</si>
  <si>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</si>
  <si>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</si>
  <si>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"Башинфорсвязь"</t>
  </si>
  <si>
    <t>150,00руб.*12мес.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</si>
  <si>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</si>
  <si>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</si>
  <si>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</si>
  <si>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</si>
  <si>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</si>
  <si>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</si>
  <si>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</si>
  <si>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.-уборка лестничных клеток</t>
  </si>
  <si>
    <t>.-обслуживание мусоропровода</t>
  </si>
  <si>
    <t>.- вывоз КГМ</t>
  </si>
  <si>
    <t>-очистка вентканалов</t>
  </si>
  <si>
    <t>.-проверка дымоходов</t>
  </si>
  <si>
    <t>.-дератизация</t>
  </si>
  <si>
    <t>.-дезинсекция</t>
  </si>
  <si>
    <t>.-т/о приборов учета тепловой энергии</t>
  </si>
  <si>
    <t>.-т/о и ППР ЗПУ</t>
  </si>
  <si>
    <t>0руб./мес.*12мес./1,18</t>
  </si>
  <si>
    <t>.-комплексное обслуживание лифтов</t>
  </si>
  <si>
    <t>0руб./мес.*12 мес.*2 лифта</t>
  </si>
  <si>
    <t>.-вывоз мусора (население)САХ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</si>
  <si>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</si>
  <si>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</si>
  <si>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</si>
  <si>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</si>
  <si>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</si>
  <si>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</si>
  <si>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</si>
  <si>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</si>
  <si>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</si>
  <si>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</si>
  <si>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</si>
  <si>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</si>
  <si>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</si>
  <si>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</si>
  <si>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</si>
  <si>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</si>
  <si>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5.ОДС</t>
  </si>
  <si>
    <t>6. Общеэксплуатационные расходы</t>
  </si>
  <si>
    <t>Рентабельность, 3%</t>
  </si>
  <si>
    <t>Итого стоимость услуг с НДС:</t>
  </si>
  <si>
    <t>ЖЭУ-24  (с НДС)</t>
  </si>
  <si>
    <t>1) ООО "МАСТЕР-ЭКСКЛЮЗИВ" (88,4кв.м.)</t>
  </si>
  <si>
    <t>Тех.обслуживание</t>
  </si>
  <si>
    <t>Вывоз мусора</t>
  </si>
  <si>
    <t>2) Буланбаева Э.В. (31,5кв.м.)</t>
  </si>
  <si>
    <t>4) Галеева Э.Р. (32кв.м.)</t>
  </si>
  <si>
    <t>5) Баязитова Е.В. (82кв.м.)</t>
  </si>
  <si>
    <t>6) ИП Немкова Л.Б. (41,6кв.м.)</t>
  </si>
  <si>
    <t>"Скартел"</t>
  </si>
  <si>
    <t>.-обслуживание узлов автоматического регулирования</t>
  </si>
  <si>
    <t>1) Чиглинцев А.М. (39,3кв.м.)</t>
  </si>
  <si>
    <t>2) Мусина Г.Р. (40,6кв.м.)</t>
  </si>
  <si>
    <t>4)  Хазиева Л.Р. (31,1кв.м.)</t>
  </si>
  <si>
    <t>6) Садыкбаев Р.К. (43,9кв.м.)</t>
  </si>
  <si>
    <t>1) МБУ Централизованная система детских библиотек ГО г.Уфа РБ (407,2кв.м.)</t>
  </si>
  <si>
    <t>3) ИП Баязитова Е.Н. (318,8кв.м.)</t>
  </si>
  <si>
    <t>4)  ГБУКиИ "Башкирский государственный театр кукол" (131кв.м.)</t>
  </si>
  <si>
    <t>1) ООО "ДиМакс" (31,8кв.м.)</t>
  </si>
  <si>
    <t>2) ООО "ОЖХ Орджон. р-на г.Уфы". (427кв.м.)</t>
  </si>
  <si>
    <t>3) Квитанцев С.В. (83,3кв.м.)</t>
  </si>
  <si>
    <t xml:space="preserve">.-обслуживание АППЗ и ДУ </t>
  </si>
  <si>
    <t>2) ООО "МЕДСТАНДАРТ" (165,2кв.м.)</t>
  </si>
  <si>
    <t>0руб./мес.*12 мес.</t>
  </si>
  <si>
    <t>1) ООО "Иремель-тау-плюс" (61,3кв.м.)</t>
  </si>
  <si>
    <t>1) ООО "ОЖХ Орджон. р-на" (334,8кв.м.)</t>
  </si>
  <si>
    <t>2) ИП Петрова В.Р. (30,9кв.м.)</t>
  </si>
  <si>
    <t>1) МБУ "Управление по содержанию и благоустройству Ордж.р-на" ГО г.Уфа РБ (356,8кв.м.)</t>
  </si>
  <si>
    <t>4) ООО "Строй-Прогресс" (96,2кв.м.)</t>
  </si>
  <si>
    <t>2) ООО "Башуралремстрой"  (106кв.м.)</t>
  </si>
  <si>
    <t>3) ООО "АТН" (126,1кв.м.)</t>
  </si>
  <si>
    <t>4) ООО "Юридическая фирма "ЛЕКС" (58,4кв.м.)</t>
  </si>
  <si>
    <t>1) ООО "ОЖХ Орджон.р-на г.Уфы" (15кв.м.)</t>
  </si>
  <si>
    <t xml:space="preserve">Смета доходов  и расходов на содержание и текущий ремонт общедомового имущества дома №146/2,  Пр. Октября 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</si>
  <si>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</si>
  <si>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7. Услуги по начислению и сбору платежей и управлению домом</t>
  </si>
  <si>
    <t>Всего по п.4-7:</t>
  </si>
  <si>
    <t>В расходной части сметы не учтены затраты на текущий ремонт МКД</t>
  </si>
  <si>
    <t>Дата исполнения</t>
  </si>
  <si>
    <t>1раз в месяц</t>
  </si>
  <si>
    <t>каждый день</t>
  </si>
  <si>
    <t>по графику</t>
  </si>
  <si>
    <t>2раза в год</t>
  </si>
  <si>
    <t>4раза в год</t>
  </si>
  <si>
    <t>в зимний период</t>
  </si>
  <si>
    <t>гидравлич.испытания - 1раз в год,   промывка - 1раз в 3 года</t>
  </si>
  <si>
    <t>Экономически обоснованный тариф по затратам на "Содержание"</t>
  </si>
  <si>
    <t xml:space="preserve">Смета доходов  и расходов на содержание и текущий ремонт общедомового имущества дома №146/1,  Пр.Октября </t>
  </si>
  <si>
    <t xml:space="preserve">Смета доходов  и расходов на содержание и текущий ремонт общедомового имущества дома №150,  Пр.Октября </t>
  </si>
  <si>
    <t xml:space="preserve">Смета доходов  и расходов на содержание и текущий ремонт общедомового имущества дома №150/1,  Пр.Октября </t>
  </si>
  <si>
    <t>Смета доходов  и расходов на содержание и текущий ремонт общедомового имущества дома №150/2,  Пр.Октября</t>
  </si>
  <si>
    <t xml:space="preserve">Смета доходов  и расходов на содержание и текущий ремонт общедомового имущества дома №158,  Пр.Октября </t>
  </si>
  <si>
    <t xml:space="preserve">Смета доходов  и расходов на содержание и текущий ремонт общедомового имущества дома №13,  ул.Блюхера </t>
  </si>
  <si>
    <t xml:space="preserve">Смета доходов  и расходов на содержание и текущий ремонт общедомового имущества дома №15,  ул.Блюхера </t>
  </si>
  <si>
    <t xml:space="preserve">Смета доходов  и расходов на содержание и текущий ремонт общедомового имущества дома №15/1, ул.Блюхера </t>
  </si>
  <si>
    <t xml:space="preserve">Смета доходов  и расходов на содержание и текущий ремонт общедомового имущества дома №17, ул.Блюхера </t>
  </si>
  <si>
    <t xml:space="preserve">Смета доходов  и расходов на содержание и текущий ремонт общедомового имущества дома №28,  ул.Блюхера </t>
  </si>
  <si>
    <t xml:space="preserve">Смета доходов  и расходов на содержание и текущий ремонт общедомового имущества дома №30, ул.Блюхера </t>
  </si>
  <si>
    <t xml:space="preserve">Смета доходов  и расходов на содержание и текущий ремонт общедомового имущества дома №32, ул.Блюхера </t>
  </si>
  <si>
    <t xml:space="preserve">Смета доходов  и расходов на содержание и текущий ремонт общедомового имущества дома №32/1, ул.Блюхера </t>
  </si>
  <si>
    <t>Смета доходов  и расходов на содержание и текущий ремонт общедомового имущества дома №34, ул.Блюхера</t>
  </si>
  <si>
    <t xml:space="preserve">Смета доходов  и расходов на содержание и текущий ремонт общедомового имущества дома №36, ул.Блюхера </t>
  </si>
  <si>
    <t xml:space="preserve">Смета доходов  и расходов на содержание и текущий ремонт общедомового имущества дома №38, ул.Блюхера </t>
  </si>
  <si>
    <t xml:space="preserve">Смета доходов  и расходов на содержание и текущий ремонт общедомового имущества дома №9,  ул.Н.Кузнецова </t>
  </si>
  <si>
    <t xml:space="preserve">Смета доходов  и расходов на содержание и текущий ремонт общедомового имущества дома №56а, ул.Российская </t>
  </si>
  <si>
    <t xml:space="preserve">Смета доходов  и расходов на содержание и текущий ремонт общедомового имущества дома №56б,  ул.Российская </t>
  </si>
  <si>
    <t xml:space="preserve">Смета доходов  и расходов на содержание и текущий ремонт общедомового имущества дома №56в, ул.Российская </t>
  </si>
  <si>
    <t xml:space="preserve">Смета доходов  и расходов на содержание и текущий ремонт общедомового имущества дома №58, ул.Российская </t>
  </si>
  <si>
    <t xml:space="preserve">Смета доходов  и расходов на содержание и текущий ремонт общедомового имущества дома №62, ул.Российская </t>
  </si>
  <si>
    <t xml:space="preserve">Смета доходов  и расходов на содержание и текущий ремонт общедомового имущества дома №64, ул.Российская </t>
  </si>
  <si>
    <t xml:space="preserve">Смета доходов  и расходов на содержание и текущий ремонт общедомового имущества дома №66, ул.Российская </t>
  </si>
  <si>
    <t xml:space="preserve">Смета доходов  и расходов на содержание и текущий ремонт общедомового имущества дома №66б, ул.Российская </t>
  </si>
  <si>
    <t xml:space="preserve">Смета доходов  и расходов на содержание и текущий ремонт общедомового имущества дома №66в, ул.Российская </t>
  </si>
  <si>
    <t>Итого стоимость услуг/(1275,2+0)кв.м./12мес.</t>
  </si>
  <si>
    <t>Итого стоимость услуг/(3002,3+61,3)кв.м./12мес.</t>
  </si>
  <si>
    <t>Итого стоимость услуг/(2583,2+408,3)кв.м./12мес.</t>
  </si>
  <si>
    <t>Итого стоимость услуг/(2597+0)кв.м./12мес.</t>
  </si>
  <si>
    <t>Итого стоимость услуг/(2563,2+0)кв.м./12мес.</t>
  </si>
  <si>
    <t>Итого стоимость услуг/(2574,2+0)кв.м./12мес.</t>
  </si>
  <si>
    <t>Итого стоимость услуг/(2567,7+0)кв.м./12мес.</t>
  </si>
  <si>
    <t>Итого стоимость услуг/(2561,4+396,8)кв.м./12мес.</t>
  </si>
  <si>
    <t>Итого стоимость услуг/(2015,4+0)кв.м./12мес.</t>
  </si>
  <si>
    <t>Итого стоимость услуг/(423,8+0)кв.м./12мес.</t>
  </si>
  <si>
    <t>Итого стоимость услуг/(414,9+0)кв.м./12мес.</t>
  </si>
  <si>
    <t>Итого стоимость услуг/(388,3+15)кв.м./12мес.</t>
  </si>
  <si>
    <t>4190руб./год*2лифта</t>
  </si>
  <si>
    <t>.- освидетельствование лифтов</t>
  </si>
  <si>
    <t>1раз в год</t>
  </si>
  <si>
    <t>4190руб./год*5лифтов</t>
  </si>
  <si>
    <t>Итого стоимость услуг/(366,3+0)кв.м./12мес.</t>
  </si>
  <si>
    <t xml:space="preserve">Смета доходов  и расходов на содержание и текущий ремонт общедомового имущества дома №38/1, ул.Блюхера </t>
  </si>
  <si>
    <t>1) ИП Родионова Н.В. (40,5кв.м.)</t>
  </si>
  <si>
    <t xml:space="preserve">Смета доходов  и расходов на содержание и текущий ремонт общедомового имущества дома №5, ул.Н.Кузнецова </t>
  </si>
  <si>
    <t xml:space="preserve">Смета доходов  и расходов на содержание и текущий ремонт общедомового имущества дома №6, ул.Н.Кузнецова </t>
  </si>
  <si>
    <t>1) ИП Бычков А.М. (55,2кв.м.)</t>
  </si>
  <si>
    <t>2) НОУ "Патриса Нейл" (247,7кв.м.)</t>
  </si>
  <si>
    <t>Смета доходов  и расходов на содержание и текущий ремонт общедомового имущества дома №7, ул.Н.Кузнецова</t>
  </si>
  <si>
    <t>1 раз в месяц</t>
  </si>
  <si>
    <t>гидравлич.испытания - 1 раз в год,промывка - 1 раз в 3 года</t>
  </si>
  <si>
    <t>Итого стоимость услуг/(2421,40кв.м.+200,8кв.м.)/12мес.</t>
  </si>
  <si>
    <t>тариф</t>
  </si>
  <si>
    <t>без уборки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</si>
  <si>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</si>
  <si>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</si>
  <si>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</si>
  <si>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</si>
  <si>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</si>
  <si>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</si>
  <si>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</si>
  <si>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</si>
  <si>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</si>
  <si>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Площадь газона</t>
  </si>
  <si>
    <t>Кол-во дымоходов</t>
  </si>
  <si>
    <t>Непредвид.ремонт</t>
  </si>
  <si>
    <t>Профобходы</t>
  </si>
  <si>
    <t>Дворников</t>
  </si>
  <si>
    <t>Мусоропроводчиков</t>
  </si>
  <si>
    <t>Уб. л/кл</t>
  </si>
  <si>
    <t>САХ объем</t>
  </si>
  <si>
    <t>этажей</t>
  </si>
  <si>
    <t>л/кл</t>
  </si>
  <si>
    <t>дератиз</t>
  </si>
  <si>
    <t>.-т/о ВДГО</t>
  </si>
  <si>
    <t>И.о.начальника ПЭО                             Низамутдинова Э.Ф.</t>
  </si>
  <si>
    <t>1) ООО "Социум" (191,1кв.м.)</t>
  </si>
  <si>
    <t>дерат</t>
  </si>
  <si>
    <t>без</t>
  </si>
  <si>
    <t>1 раз в год</t>
  </si>
  <si>
    <t>8) Хайрутдинова К.Ф.(82,5кв.м.)</t>
  </si>
  <si>
    <t>3) Кондров В.В. (24кв.м.)</t>
  </si>
  <si>
    <t>7) Елизарьева О.В. (39,5кв.м.)</t>
  </si>
  <si>
    <t>цок</t>
  </si>
  <si>
    <t>(1969,9+5*10)</t>
  </si>
  <si>
    <t>5) ООО магазин "Пионер" (958,3кв.м.)</t>
  </si>
  <si>
    <t>(420+1*10)</t>
  </si>
  <si>
    <t>Итого стоимость услуг/(3186,6+0)кв.м./12мес.</t>
  </si>
  <si>
    <t xml:space="preserve">Смета доходов  и расходов на содержание и текущий ремонт общедомового имущества дома №36/1, ул.Блюхера </t>
  </si>
  <si>
    <t>2) ИП Нуркаев Н.Р. (78,1кв.м.)</t>
  </si>
  <si>
    <t>Итого стоимость услуг/(3138,4+118,6)кв.м./12мес.</t>
  </si>
  <si>
    <t>2) Кривогин М.И. (40кв.м.)</t>
  </si>
  <si>
    <t>3) Рогачева Г.Н. (171кв.м.)</t>
  </si>
  <si>
    <t>2473,28руб./год * 1 раз</t>
  </si>
  <si>
    <t>.-ВДГО</t>
  </si>
  <si>
    <t>155,02руб./год * 1 раз</t>
  </si>
  <si>
    <t>616,88руб./год * 1 раз</t>
  </si>
  <si>
    <t>2) ООО "ГрандСтрой". (60,7кв.м.)</t>
  </si>
  <si>
    <t>Орджоникидзевского района г.Уфы"</t>
  </si>
  <si>
    <t>1,02руб./мес.*296кв.м.*4 раза</t>
  </si>
  <si>
    <t>И.о.начальника ПЭО                                                            Э.Ф. Низамутдинова</t>
  </si>
  <si>
    <t xml:space="preserve">Смета доходов  и расходов на содержание и текущий ремонт общедомового имущества дома №60б,  ул.Российская </t>
  </si>
  <si>
    <t>Директор ОАО" УЖХ</t>
  </si>
  <si>
    <t>0,26 руб./мес.*(289кв.м.)*12 мес.</t>
  </si>
  <si>
    <t>1,02руб./мес.*(289кв.м.)*4 раза</t>
  </si>
  <si>
    <t>Начальник ПЭО                                                            А.М. Андреев</t>
  </si>
  <si>
    <t>0,26 руб./мес.*122,4в.м.*12 мес.</t>
  </si>
  <si>
    <t>1,02руб./мес.*122,4кв.м.*4 раза</t>
  </si>
  <si>
    <t>.-обслуживание экобоксов</t>
  </si>
  <si>
    <t>0,26 руб./мес.*221кв.м.*12 мес.</t>
  </si>
  <si>
    <t>1,02руб./мес.*221кв.м.*4 раза</t>
  </si>
  <si>
    <t>0,26 руб./мес.*296,5в.м.*12 мес.</t>
  </si>
  <si>
    <t>1,02руб./мес.*296,5кв.м.*4 раза</t>
  </si>
  <si>
    <t>172,95руб./мес.*12мес.</t>
  </si>
  <si>
    <t>1,02руб./мес.*121,6кв.м.*4 раза</t>
  </si>
  <si>
    <t>5) Виноградская Ю.А. (46,3кв.м.)</t>
  </si>
  <si>
    <t>9) ООО "Эко-Универсал"(80,3кв.м.)</t>
  </si>
  <si>
    <t>1,02руб./мес.*255кв.м.*4 раза</t>
  </si>
  <si>
    <t>1,02руб./мес.*120,8кв.м.*4 раза</t>
  </si>
  <si>
    <t>с уб</t>
  </si>
  <si>
    <t>11099,6кв.м.*21,46руб.*12 мес.</t>
  </si>
  <si>
    <t>0,26 руб./мес.*(1969,9+5*10в.м.)*12 мес.</t>
  </si>
  <si>
    <t>1,02руб./мес.*(1969,9+5*10в.м.)*4 раза</t>
  </si>
  <si>
    <t>1747,55руб./мес.*12мес.</t>
  </si>
  <si>
    <t>Итого стоимость услуг/(11099,6+2003)кв.м./12мес.</t>
  </si>
  <si>
    <t>4) МБОУ Школа №99 ГО г.Уфа РБ (200кв.м.)</t>
  </si>
  <si>
    <t>0,26 руб./мес.*(420+1*10в.м.)*12 мес.</t>
  </si>
  <si>
    <t>1,02руб./мес.*(420+1*10в.м.)*4 раза</t>
  </si>
  <si>
    <t>334,64руб./мес.*12мес.</t>
  </si>
  <si>
    <t>Итого стоимость услуг/(4937,5+742,1)кв.м./12мес.</t>
  </si>
  <si>
    <t>1) ИП Мартынов В.В. (225,8кв.м.)</t>
  </si>
  <si>
    <t>1,02руб./мес.*(310в.м.)*4 раза</t>
  </si>
  <si>
    <t>1,02руб./мес.*(425кв.м.)*4 раза</t>
  </si>
  <si>
    <t>3002,3кв.м.*14,97руб.*12 мес.</t>
  </si>
  <si>
    <t>61,3кв.м.*14,97руб.*12мес.</t>
  </si>
  <si>
    <t>0,26 руб./мес.*(360кв.м.)*12 мес.</t>
  </si>
  <si>
    <t>1,02руб./мес.*(360кв.м.)*4 раза</t>
  </si>
  <si>
    <t>497,06руб./мес.*12мес.</t>
  </si>
  <si>
    <t>0,26 руб./мес.*(417кв.м.)*12 мес.</t>
  </si>
  <si>
    <t>1,02руб./мес.*(417кв.м.)*4 раза</t>
  </si>
  <si>
    <t>453,19руб./мес.*12мес.</t>
  </si>
  <si>
    <t>0,26 руб./мес.*(234кв.м.)*12 мес.</t>
  </si>
  <si>
    <t>1,02руб./мес.*(234кв.м.)*4 раза</t>
  </si>
  <si>
    <t>450,08руб./мес.*12мес.</t>
  </si>
  <si>
    <t>0,26 руб./мес.*(439кв.м.)*12 мес.</t>
  </si>
  <si>
    <t>1,02руб./мес.*(439кв.м.)*4 раза</t>
  </si>
  <si>
    <t>0,26 руб./мес.*(223кв.м.)*12 мес.</t>
  </si>
  <si>
    <t>1,02руб./мес.*(223кв.м.)*4 раза</t>
  </si>
  <si>
    <t>0,26 руб./мес.*(217кв.м.)*12 мес.</t>
  </si>
  <si>
    <t>1,02руб./мес.*(217кв.м.)*4 раза</t>
  </si>
  <si>
    <t>1) Нуриахметова Д.Ш. (32кв.м.)</t>
  </si>
  <si>
    <t>0,26 руб./мес.*(265кв.м.)*12 мес.</t>
  </si>
  <si>
    <t>1,02руб./мес.*(265кв.м.)*4 раза</t>
  </si>
  <si>
    <t>Итого стоимость услуг/(3177,4+32)кв.м./12мес.</t>
  </si>
  <si>
    <t>0,26 руб./мес.*(229кв.м.)*12 мес.</t>
  </si>
  <si>
    <t>1,02руб./мес.*(229кв.м.)*4 раза</t>
  </si>
  <si>
    <t>1,02руб./мес.*(279кв.м.)*4 раза</t>
  </si>
  <si>
    <t>2967,6кв.м.*12,62руб.*12 мес.</t>
  </si>
  <si>
    <t>55,2кв.м.*12,62руб.*12мес.</t>
  </si>
  <si>
    <t>247,7кв.м.*12,62руб.*12мес.</t>
  </si>
  <si>
    <t>0,26 руб./мес.*(249,6кв.м.)*12 мес.</t>
  </si>
  <si>
    <t>1,02руб./мес.*(249,6кв.м.)*4 раза</t>
  </si>
  <si>
    <t>278,59руб./мес.*12мес.</t>
  </si>
  <si>
    <t>1)Баш. Респ. отд-е Политич.партии "КПРФ" (72,1кв.м.)</t>
  </si>
  <si>
    <t xml:space="preserve"> 3)ИП Макарова А.Н. (32кв.м.)</t>
  </si>
  <si>
    <t xml:space="preserve"> 2)МУП ЕРКЦ (96,7кв.м.)</t>
  </si>
  <si>
    <t>0,26 руб./мес.*(232кв.м.)*12 мес.</t>
  </si>
  <si>
    <t>1,02руб./мес.*(232кв.м.)*4 раза</t>
  </si>
  <si>
    <t>412,83руб./мес.*12мес.</t>
  </si>
  <si>
    <t>3) ИП Бычков А.М. (…...кв.м.)</t>
  </si>
  <si>
    <t>205,99руб./мес.*12мес.</t>
  </si>
  <si>
    <t>0,26 руб./мес.*(134кв.м.)*12 мес.</t>
  </si>
  <si>
    <t>1,02руб./мес.*(134кв.м.)*4 раза</t>
  </si>
  <si>
    <t>2) ИП Шакирова А.Р.  (74,3кв.м.)</t>
  </si>
  <si>
    <t>0,26 руб./мес.*(156кв.м.)*12 мес.</t>
  </si>
  <si>
    <t>1,02руб./мес.*(156кв.м.)*4 раза</t>
  </si>
  <si>
    <t>1,02руб./мес.*(244кв.м.)*4 раза</t>
  </si>
  <si>
    <t>0,26 руб./мес.*(366,3кв.м.)*12 мес.</t>
  </si>
  <si>
    <t>1,02руб./мес.*(366,3кв.м.)*4 раза</t>
  </si>
  <si>
    <t>0,26 руб./мес.*(423,8кв.м.)*12 мес.</t>
  </si>
  <si>
    <t>1,02руб./мес.*(423,8кв.м.)*4 раза</t>
  </si>
  <si>
    <t>0,26 руб./мес.*(414,9кв.м.)*12 мес.</t>
  </si>
  <si>
    <t>1,02руб./мес.*(414,9кв.м.)*4 раза</t>
  </si>
  <si>
    <t>0,26 руб./мес.*(388,3кв.м.)*12 мес.</t>
  </si>
  <si>
    <t>1,02руб./мес.*(388,3кв.м.)*4 раза</t>
  </si>
  <si>
    <t>0,26 руб./мес.*(87,7кв.м.)*12 мес.</t>
  </si>
  <si>
    <t>1,02руб./мес.*(87,7кв.м.)*4 раза</t>
  </si>
  <si>
    <t>0,26 руб./мес.*(110кв.м.)*12 мес.</t>
  </si>
  <si>
    <t>1,02руб./мес.*(110кв.м.)*4 раза</t>
  </si>
  <si>
    <t>____________________А.С. Шагаргазин</t>
  </si>
  <si>
    <t>И.о. директора ООО" ОЖХ</t>
  </si>
  <si>
    <t>План работ на 2018г., согласно Постановлению Правительства РФ от 23 сентября 2010г. №731 п.11 пп.б</t>
  </si>
  <si>
    <t>1087,8кв.м.*12,03руб.*12 мес.</t>
  </si>
  <si>
    <r>
      <t xml:space="preserve">63чел.*(211,42руб./куб.м.в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</si>
  <si>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88,4кв.м.*12,03руб.*12мес.</t>
  </si>
  <si>
    <t>3,60куб.м.*(232,80руб.*1,18*6мес.+243,11руб.*1,18*6мес.)</t>
  </si>
  <si>
    <t>41,6кв.м.*12,03руб.*12мес.</t>
  </si>
  <si>
    <t>1,55куб.м.*(232,80руб.*1,18*6мес.+243,11руб.*1,18*6мес.)</t>
  </si>
  <si>
    <t>3) ООО "РИЭЛ" (70кв.м.)</t>
  </si>
  <si>
    <t>70кв.м.*12,03руб.*12мес.</t>
  </si>
  <si>
    <t>0куб.м.*(232,80руб.*1,18*6мес.+243,11руб.*1,18*6мес.)</t>
  </si>
  <si>
    <t>82кв.м.*12,03руб.*12мес.</t>
  </si>
  <si>
    <t>3,01куб.м.*(232,80руб.*1,18*6мес.+243,11руб.*1,18*6мес.)</t>
  </si>
  <si>
    <t>32кв.м.*12,03руб.*12мес.</t>
  </si>
  <si>
    <t>0,29куб.м.*(232,80руб.*1,18*6мес.+243,11руб.*1,18*6мес.)</t>
  </si>
  <si>
    <t>31,5кв.м.*12,03руб.*12мес.</t>
  </si>
  <si>
    <t>1,08куб.м.*(232,80руб.*1,18*6мес.+243,11руб.*1,18*6мес.)</t>
  </si>
  <si>
    <t xml:space="preserve">((0,29чел.*(3565руб.+200руб.)*1,5*1,15*1,083*1,302*3мес.)+(3708руб.+200руб.)*1,5*1,15*1,083*1,302*9мес.))+0,100руб./кв.м.асф.покр.*597кв.м.)*12 мес. </t>
  </si>
  <si>
    <t>63чел.*(360,84руб./куб.м.*0,025куб.м.*3мес.+362,52руб/куб.м.*0,025куб.м.*3мес.+382,25руб./куб.м.*0,025куб.м.*6мес.)</t>
  </si>
  <si>
    <t>0дым.*(49,72 руб.*2 раза с год+51,71руб.*2 раза в год)</t>
  </si>
  <si>
    <t>27вент.*(16,86 руб.+17,53 руб.)</t>
  </si>
  <si>
    <t>27дым.*(49,72 руб.*2 раза с год+51,71руб.*2 раза в год)</t>
  </si>
  <si>
    <t>700,55руб./мес.*6 мес.+728,57руб./мес.*6мес.</t>
  </si>
  <si>
    <t>695,13руб./мес.*6 мес.+722,94руб./мес.*6мес.</t>
  </si>
  <si>
    <t>63чел.*(211,42руб./куб.м.в мес.*6мес.*1,45куб.м./12+226,93руб./куб.м.в мес.*6мес.*1,45куб.м./12)</t>
  </si>
  <si>
    <t>9,53куб.м.*(232,80руб.*6мес.+243,11руб.*6мес.)</t>
  </si>
  <si>
    <t>проверть арендаторов</t>
  </si>
  <si>
    <t xml:space="preserve">(5,39ч/час*(96,4189руб./час.*3мес.)+(5,39ч/час*100,2864руб./час*9 мес.)+(1,78руб./м.кв.*(1087,8+345,50)кв.м.*12мес.) </t>
  </si>
  <si>
    <t>13,69руб./кв.м.*569кв.м.</t>
  </si>
  <si>
    <t>17,51руб./кв.м.*(1087,8+345,50)кв.м.</t>
  </si>
  <si>
    <t xml:space="preserve">(632,04руб./куб.м.+251,07/руб./куб.м./3)*5042куб.м./1000    </t>
  </si>
  <si>
    <t xml:space="preserve">(154,8900ч/час/12*3*96,4189руб./час.+(154,8900/12*9*100,2864руб./час)+(154,8900ч/час/12*3*96,4189руб./час.+(154,8900/12*9*100,2864руб./час)/1,302*25% </t>
  </si>
  <si>
    <t>3,05 руб./кв.м.*(1087,8+345,50)кв.м.</t>
  </si>
  <si>
    <t>Прямые расходы*0,341*</t>
  </si>
  <si>
    <t>(Прямые расходы+общеэкспуатационные расходы)*0,132**</t>
  </si>
  <si>
    <t>Итого стоимость услуг/(1087,8+345,50)кв.м./12мес.</t>
  </si>
  <si>
    <t xml:space="preserve">* 0,341-коэффициент соотношения по Орджоникидзевскому району на 2018 год общеэксплуатационных расходов к прямым, исходя из фактических данных 2017 года. </t>
  </si>
  <si>
    <t xml:space="preserve">** 0,132-коэффициент соотношения по Орджоникидзевскому району на 2018 год услуг по управлению и начислению платежей, исходя из фактических данных 2017 года. </t>
  </si>
  <si>
    <t>2517,7кв.м.*14,83руб./кв.м.*12мес.</t>
  </si>
  <si>
    <r>
      <t xml:space="preserve">121чел.*(211,42руб./куб.м.в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</si>
  <si>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83,5кв.м.*14,83руб.*12мес.</t>
  </si>
  <si>
    <t>1) ООО "Ритуал Сервис" (83,5кв.м.)</t>
  </si>
  <si>
    <t xml:space="preserve">((0,69чел.*(3565руб.+200руб.)*1,5*1,15*1,083*1,302*3мес.)+(3708руб.+200руб.)*1,5*1,15*1,083*1,302*9мес.))+0,100руб./кв.м.асф.покр.*1077кв.м.)*12 мес. </t>
  </si>
  <si>
    <t>121чел.*(360,84руб./куб.м.*0,025куб.м.*3мес.+362,52руб/куб.м.*0,025куб.м.*3мес.+382,25руб./куб.м.*0,025куб.м.*6мес.)</t>
  </si>
  <si>
    <t>64вент.*(16,86 руб.+17,53 руб.)</t>
  </si>
  <si>
    <t>64дым.*(49,72 руб.*2 раза с год+51,71руб.*2 раза в год)</t>
  </si>
  <si>
    <t>0,26 руб./мес.*121,6в.м.*12мес.</t>
  </si>
  <si>
    <t>121чел.*(211,42руб./куб.м.в мес.*6мес.*1,45куб.м./12+226,93руб./куб.м.в мес.*6мес.*1,45куб.м./12)</t>
  </si>
  <si>
    <t>1,08куб.м.*(232,80руб.*6мес.+243,11руб.*6мес.)</t>
  </si>
  <si>
    <t xml:space="preserve">(6,61ч/час*(96,4189руб./час.*3мес.)+(6,61ч/час*100,2864руб./час*9 мес.)+(1,78руб./м.кв.*(2517,7+83,5)кв.м.*12мес.) </t>
  </si>
  <si>
    <t>13,69руб./кв.м.*1147кв.м.</t>
  </si>
  <si>
    <t>17,51руб./кв.м.*(2517,7+83,5)кв.м.</t>
  </si>
  <si>
    <t xml:space="preserve">(632,04руб./куб.м.+251,07/руб./куб.м./3)*9882куб.м./1000    </t>
  </si>
  <si>
    <t xml:space="preserve">(354,3900ч/час/12*3*96,4189руб./час.+(354,3900/12*9*100,2864руб./час)+(354,3900ч/час/12*3*96,4189руб./час.+(354,3900/12*9*100,2864руб./час)/1,302*25% </t>
  </si>
  <si>
    <t>3,05 руб./кв.м.*(2517,7+83,5)кв.м.</t>
  </si>
  <si>
    <t>Итого стоимость услуг/(2517,7+83,5)кв.м./12мес.</t>
  </si>
  <si>
    <t>2786,4кв.м.*14,83руб./кв.м.*12мес.</t>
  </si>
  <si>
    <t>39,3кв.м.*14,83руб.*12мес.</t>
  </si>
  <si>
    <t>40,6кв.м.*14,83руб.*12мес.</t>
  </si>
  <si>
    <t>24кв.м.*14,83руб.*12мес.</t>
  </si>
  <si>
    <t>31,1кв.м.*14,83руб.*12мес.</t>
  </si>
  <si>
    <t>46,3кв.м.*14,83руб.*12мес.</t>
  </si>
  <si>
    <t>43,9кв.м.*14,83руб.*12мес.</t>
  </si>
  <si>
    <t>39,5кв.м.*14,83руб.*12мес.</t>
  </si>
  <si>
    <t>82,5кв.м.*14,83руб.*12мес.</t>
  </si>
  <si>
    <t>80,3кв.м.*14,83руб.*12мес.</t>
  </si>
  <si>
    <t>Итого стоимость услуг/(2786,4+427,5)кв.м./12мес.</t>
  </si>
  <si>
    <r>
      <t xml:space="preserve">138чел.*(211,42руб./куб.м.в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</si>
  <si>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1,92куб.м.*(232,80руб.*1,18*6мес.+243,11руб.*1,18*6мес.)</t>
  </si>
  <si>
    <t>0,88куб.м.*(232,80руб.*1,18*6мес.+243,11руб.*1,18*6мес.)</t>
  </si>
  <si>
    <t>0,07куб.м.*(232,80руб.*1,18*6мес.+243,11руб.*1,18*6мес.)</t>
  </si>
  <si>
    <t>0,59куб.м.*(232,80руб.*1,18*6мес.+243,11руб.*1,18*6мес.)</t>
  </si>
  <si>
    <t>1,40куб.м.*(232,80руб.*1,18*6мес.+243,11руб.*1,18*6мес.)</t>
  </si>
  <si>
    <t>0,82куб.м.*(232,80руб.*1,18*6мес.+243,11руб.*1,18*6мес.)</t>
  </si>
  <si>
    <t>1,17куб.м.*(232,80руб.*1,18*6мес.+243,11руб.*1,18*6мес.)</t>
  </si>
  <si>
    <t xml:space="preserve">((0,68чел.*(3565руб.+200руб.)*1,5*1,15*1,083*1,302*3мес.)+(3708руб.+200руб.)*1,5*1,15*1,083*1,302*9мес.))+0,100руб./кв.м.асф.покр.*1234кв.м.)*12 мес. </t>
  </si>
  <si>
    <t>138чел.*(360,84руб./куб.м.*0,025куб.м.*3мес.+362,52руб/куб.м.*0,025куб.м.*3мес.+382,25руб./куб.м.*0,025куб.м.*6мес.)</t>
  </si>
  <si>
    <t>71вент.*(16,86 руб.+17,53 руб.)</t>
  </si>
  <si>
    <t>71дым.*(49,72 руб.*2 раза с год+51,71руб.*2 раза в год)</t>
  </si>
  <si>
    <t>0,26 руб./мес.*255в.м.*12 мес.</t>
  </si>
  <si>
    <t>138чел.*(211,42руб./куб.м.в мес.*6мес.*1,45куб.м./12+226,93руб./куб.м.в мес.*6мес.*1,45куб.м./12)</t>
  </si>
  <si>
    <t>7,44куб.м.*(232,80руб.*6мес.+243,11руб.*6мес.)</t>
  </si>
  <si>
    <t xml:space="preserve">(6,65ч/час*(96,4189руб./час.*3мес.)+(6,65ч/час*100,2864руб./час*9 мес.)+(1,78руб./м.кв.*(2786,4+427,5)кв.м.*12мес.) </t>
  </si>
  <si>
    <t>13,69руб./кв.м.*1138кв.м.</t>
  </si>
  <si>
    <t>17,51руб./кв.м.*(2786,4+427,5)кв.м.</t>
  </si>
  <si>
    <t xml:space="preserve">(632,04руб./куб.м.+251,07/руб./куб.м./3)*12203куб.м./1000    </t>
  </si>
  <si>
    <t xml:space="preserve">(386,6000ч/час/12*3*96,4189руб./час.+(386,6000/12*9*100,2864руб./час)+(386,6000ч/час/12*3*96,4189руб./час.+(386,6000/12*9*100,2864руб./час)/1,302*25% </t>
  </si>
  <si>
    <t>3,05 руб./кв.м.*(2786,4+427,5)кв.м.</t>
  </si>
  <si>
    <t>1280кв.м.*14,83руб.*12 мес.</t>
  </si>
  <si>
    <r>
      <t xml:space="preserve">67чел.*(211,42руб./куб.м.в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</si>
  <si>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((0,27чел.*(3565руб.+200руб.)*1,5*1,15*1,083*1,302*3мес.)+(3708руб.+200руб.)*1,5*1,15*1,083*1,302*9мес.))+0,100руб./кв.м.асф.покр.*546кв.м.)*12 мес. </t>
  </si>
  <si>
    <t>67чел.*(360,84руб./куб.м.*0,025куб.м.*3мес.+362,52руб/куб.м.*0,025куб.м.*3мес.+382,25руб./куб.м.*0,025куб.м.*6мес.)</t>
  </si>
  <si>
    <t>32вент.*(16,86 руб.+17,53 руб.)</t>
  </si>
  <si>
    <t>32дым.*(49,72 руб.*2 раза с год+51,71руб.*2 раза в год)</t>
  </si>
  <si>
    <t>67чел.*(211,42руб./куб.м.в мес.*6мес.*1,45куб.м./12+226,93руб./куб.м.в мес.*6мес.*1,45куб.м./12)</t>
  </si>
  <si>
    <t>0куб.м.*(232,80руб.*6мес.+243,11руб.*6мес.)</t>
  </si>
  <si>
    <t xml:space="preserve">(4,83ч/час*(96,4189руб./час.*3мес.)+(4,83ч/час*100,2864руб./час*9 мес.)+(1,78руб./м.кв.*(1280+0)кв.м.*12мес.) </t>
  </si>
  <si>
    <t>13,69руб./кв.м.*586кв.м.</t>
  </si>
  <si>
    <t>17,51руб./кв.м.*(1280+0)кв.м.</t>
  </si>
  <si>
    <t xml:space="preserve">(632,04руб./куб.м.+251,07/руб./куб.м./3)*5231куб.м./1000    </t>
  </si>
  <si>
    <t xml:space="preserve">(179,57000ч/час/12*3*96,4189руб./час.+(179,57000/12*9*100,2864руб./час)+(179,57000ч/час/12*3*96,4189руб./час.+(179,57000/12*9*100,2864руб./час)/1,302*25% </t>
  </si>
  <si>
    <t>3,05руб./кв.м.*(1280+0)кв.м.</t>
  </si>
  <si>
    <t>2525,4кв.м.*14,83руб./кв.м.*12мес.</t>
  </si>
  <si>
    <t>Итого стоимость услуг/(2525,4+0)кв.м./12мес.</t>
  </si>
  <si>
    <r>
      <t xml:space="preserve">139чел.*(211,42руб./куб.м.в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</si>
  <si>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((0,65чел.*(3565руб.+200руб.)*1,5*1,15*1,083*1,302*3мес.)+(3708руб.+200руб.)*1,5*1,15*1,083*1,302*9мес.))+0,100руб./кв.м.асф.покр.*1048кв.м.)*12 мес. </t>
  </si>
  <si>
    <t>139чел.*(360,84руб./куб.м.*0,025куб.м.*3мес.+362,52руб/куб.м.*0,025куб.м.*3мес.+382,25руб./куб.м.*0,025куб.м.*6мес.)</t>
  </si>
  <si>
    <t>0,26 руб./мес.*120,8в.м.*12 мес.</t>
  </si>
  <si>
    <t>139чел.*(211,42руб./куб.м.в мес.*6мес.*1,45куб.м./12+226,93руб./куб.м.в мес.*6мес.*1,45куб.м./12)</t>
  </si>
  <si>
    <t xml:space="preserve">(6,64ч/час*(96,4189руб./час.*3мес.)+(6,64ч/час*100,2864руб./час*9 мес.)+(1,78руб./м.кв.*(2525,4+0)кв.м.*12мес.) </t>
  </si>
  <si>
    <t>13,69руб./кв.м.*1205кв.м.</t>
  </si>
  <si>
    <t>17,51руб./кв.м.*(2525,4+0)кв.м.</t>
  </si>
  <si>
    <t xml:space="preserve">(632,04руб./куб.м.+251,07/руб./куб.м./3)*9959куб.м./1000    </t>
  </si>
  <si>
    <t xml:space="preserve">(357,16000ч/час/12*3*96,4189руб./час.+(357,16000/12*9*100,2864руб./час)+(357,16000ч/час/12*3*96,4189руб./час.+(357,16000/12*9*100,2864руб./час)/1,302*25% </t>
  </si>
  <si>
    <t>3,05 руб./кв.м.*(2525,4+0)кв.м.</t>
  </si>
  <si>
    <r>
      <t xml:space="preserve">530чел.*(211,42руб./куб.м.в мес.*6мес.*1,5куб.м./12+226,93руб./куб.м.в мес.*6мес.*1,5куб.м./12)*1,18  </t>
    </r>
    <r>
      <rPr>
        <b/>
        <sz val="10"/>
        <rFont val="Times New Roman"/>
        <family val="1"/>
        <charset val="204"/>
      </rPr>
      <t xml:space="preserve"> </t>
    </r>
  </si>
  <si>
    <t>407,2кв.м.*19,94руб.*12мес.</t>
  </si>
  <si>
    <t>0,75куб.м.*(232,80руб.*1,18*6мес.+243,11руб.*1,18*6мес.)</t>
  </si>
  <si>
    <t>2) ООО "ОЖХ Орджон. р-на г.Уфы" (52,6кв.м.)</t>
  </si>
  <si>
    <t>52,6кв.м.*19,94руб.*12мес.</t>
  </si>
  <si>
    <t>958,3кв.м.*19,94руб.*12мес.</t>
  </si>
  <si>
    <t>20,65куб.м.*(232,80руб.*1,18*6мес.+243,11руб.*1,18*6мес.)</t>
  </si>
  <si>
    <t>318,8кв.м.*19,94руб.*12мес.</t>
  </si>
  <si>
    <t>131кв.м.*19,94руб.*12мес.</t>
  </si>
  <si>
    <t>2,50куб.м.*(232,80руб.*1,18*6мес.+243,11руб.*1,18*6мес.)</t>
  </si>
  <si>
    <t xml:space="preserve">((2,12чел.*(3565руб.+200руб.)*1,5*1,15*1,083*1,302*3мес.)+(3708руб.+200руб.)*1,5*1,15*1,083*1,302*9мес.))+0,100руб./кв.м.асф.покр.*4781кв.м.)*12 мес. </t>
  </si>
  <si>
    <t>(1,52чел*9538,51руб./чел.*3мес.)+(1,52чел*9921,13руб./чел.*9мес.)</t>
  </si>
  <si>
    <t>530чел.*(360,84руб./куб.м.*0,025куб.м.*3мес.+362,52руб/куб.м.*0,025куб.м.*3мес.+382,25руб./куб.м.*0,025куб.м.*6мес.)</t>
  </si>
  <si>
    <t>253вент.*(16,86 руб.+17,53 руб.)</t>
  </si>
  <si>
    <t>695,13руб./мес.*6 мес.+722,94руб./мес.*6мес.*5шт.</t>
  </si>
  <si>
    <t>(5338,98руб./мес.*1мес.)+(3813,56руб./мес.*11мес.)*5 лифтов</t>
  </si>
  <si>
    <t>530чел.*(211,42руб./куб.м.в мес.*6мес.*1,5куб.м./12+226,93руб./куб.м.в мес.*6мес.*1,5куб.м./12)</t>
  </si>
  <si>
    <t>24,19куб.м.*(232,80руб.*6мес.+243,11руб.*6мес.)</t>
  </si>
  <si>
    <t xml:space="preserve">(34,83ч/час*(96,4189руб./час.*3мес.)+(34,83ч/час*100,2864руб./час*9 мес.)+(1,78руб./м.кв.*(11099,6+1867,9)кв.м.*12мес.) </t>
  </si>
  <si>
    <t>13,69руб./кв.м.*2167кв.м.</t>
  </si>
  <si>
    <t>17,51руб./кв.м.*(11099,6+1867,9)кв.м.</t>
  </si>
  <si>
    <t xml:space="preserve">(632,04руб./куб.м.+251,07/руб./куб.м./3)*50429куб.м./1000    </t>
  </si>
  <si>
    <t xml:space="preserve">(1527,47000ч/час/12*3*96,4189руб./час.+(1527,47000/12*9*100,2864руб./час)+(1527,47000ч/час/12*3*96,4189руб./час.+(1527,47000/12*9*100,2864руб./час)/1,302*25% </t>
  </si>
  <si>
    <t>3,05руб./кв.м.*(11099,6+1867,9)кв.м.</t>
  </si>
  <si>
    <t>План работ на 2018г. согласно Постановлению Правительства РФ от 23 сентября 2010г. №731 п.11 пп.б</t>
  </si>
  <si>
    <t>подвал</t>
  </si>
  <si>
    <t>(1,76чел*9538,51руб./чел.*3мес.)+(1,76чел*9921,13руб./чел.*9мес.)+(253квартир* 10,92431руб/кв*12 мес.)</t>
  </si>
  <si>
    <t>4937,5кв.м.*24,74руб.*12 мес.</t>
  </si>
  <si>
    <r>
      <t xml:space="preserve">167чел.*(211,42руб./куб.м.в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</si>
  <si>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83,3кв.м.*22,97руб.*12мес.</t>
  </si>
  <si>
    <t>0,11куб.м.*(232,80руб.*1,18*6мес.+243,11руб.*1,18*6мес.)</t>
  </si>
  <si>
    <t>31,8кв.м.*22,97руб.*12мес.</t>
  </si>
  <si>
    <t>427кв.м.*22,97руб.*12мес.</t>
  </si>
  <si>
    <t>3,57куб.м.*(232,80руб.*1,18*6мес.+243,11руб.*1,18*6мес.)</t>
  </si>
  <si>
    <t>200кв.м.*22,97руб.*12мес.</t>
  </si>
  <si>
    <t>проверить арендаторов</t>
  </si>
  <si>
    <t xml:space="preserve">((0,77чел.*(3565руб.+200руб.)*1,5*1,15*1,083*1,302*3мес.)+(3708руб.+200руб.)*1,5*1,15*1,083*1,302*9мес.))+0,100руб./кв.м.асф.покр.*2379,4кв.м.)*12 мес. </t>
  </si>
  <si>
    <t>(0,83чел*9538,51руб./чел.*3мес.)+(0,83чел*9921,13руб./чел.*9мес.)</t>
  </si>
  <si>
    <t>(0,81чел*9538,51руб./чел.*3мес.)+(0,81чел*9921,13руб./чел.*9мес.)+(116квартир* 11,48767руб/кв*12 мес.)</t>
  </si>
  <si>
    <t>167чел.*(360,84руб./куб.м.*0,025куб.м.*3мес.+362,52руб/куб.м.*0,025куб.м.*3мес.+382,25руб./куб.м.*0,025куб.м.*6мес.)</t>
  </si>
  <si>
    <t>116вент.*(16,86 руб.+17,53 руб.)</t>
  </si>
  <si>
    <t>116кв.*(42,90руб./кв.*6мес.+44,62руб./кв.*6мес.)</t>
  </si>
  <si>
    <t>(5338,98руб./мес.*1мес.)+(3813,56руб./мес.*11мес.)*2 лифтов</t>
  </si>
  <si>
    <t>167чел.*(211,42руб./куб.м.в мес.*6мес.*1,45куб.м./12+226,93руб./куб.м.в мес.*6мес.*1,45куб.м./12)</t>
  </si>
  <si>
    <t>3,68куб.м.*(232,80руб.*6мес.+243,11руб.*6мес.)</t>
  </si>
  <si>
    <t xml:space="preserve">(12,39ч/час*(96,4189руб./час.*3мес.)+(12,39ч/час*100,2864руб./час*9 мес.)+(1,78руб./м.кв.*(4937,5+742,10)кв.м.*12мес.) </t>
  </si>
  <si>
    <t>13,69руб./кв.м.*794кв.м.</t>
  </si>
  <si>
    <t>17,51руб./кв.м.*(4937,5+742,1)кв.м.</t>
  </si>
  <si>
    <t xml:space="preserve">(632,04руб./куб.м.+251,07/руб./куб.м./3)*24577куб.м./1000    </t>
  </si>
  <si>
    <t xml:space="preserve">(645,02000ч/час/12*3*96,4189руб./час.+(645,02000/12*9*100,2864руб./час)+(645,02000ч/час/12*3*96,4189руб./час.+(645,02000/12*9*100,2864руб./час)/1,302*25% </t>
  </si>
  <si>
    <t>3,05 руб./кв.м.*(4937,5+742,1)кв.м.</t>
  </si>
  <si>
    <t>3245,2кв.м.*13,48руб./кв.м.*12мес.</t>
  </si>
  <si>
    <t>225,8кв.м.*13,48руб.*12мес.</t>
  </si>
  <si>
    <t>165,2кв.м.*13,48руб.*12мес.</t>
  </si>
  <si>
    <t>0,26руб./мес.*(310в.м.)*12мес.</t>
  </si>
  <si>
    <t>Итого стоимость услуг/(3245,2+391)кв.м./12мес.</t>
  </si>
  <si>
    <r>
      <t xml:space="preserve">165чел.*(211,42руб./куб.м.в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</si>
  <si>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1,36куб.м.*(232,80руб.*1,18*6мес.+243,11руб.*1,18*6мес.)</t>
  </si>
  <si>
    <t xml:space="preserve">((0,68чел.*(3565руб.+200руб.)*1,5*1,15*1,083*1,302*3мес.)+(3708руб.+200руб.)*1,5*1,15*1,083*1,302*9мес.))+0,100руб./кв.м.асф.покр.*1320,3кв.м.)*12 мес. </t>
  </si>
  <si>
    <t>165чел.*(360,84руб./куб.м.*0,025куб.м.*3мес.+362,52руб/куб.м.*0,025куб.м.*3мес.+382,25руб./куб.м.*0,025куб.м.*6мес.)</t>
  </si>
  <si>
    <t>80вент.*(16,86 руб.+17,53 руб.)</t>
  </si>
  <si>
    <t>80дым.*(49,72 руб.*2 раза с год+51,71руб.*2 раза в год)</t>
  </si>
  <si>
    <t>165чел.*(211,42руб./куб.м.в мес.*6мес.*1,45куб.м./12+226,93руб./куб.м.в мес.*6мес.*1,45куб.м./12)</t>
  </si>
  <si>
    <t>2,53куб.м.*(232,80руб.*6мес.+243,11руб.*6мес.)</t>
  </si>
  <si>
    <t xml:space="preserve">(10,6ч/час*(96,4189руб./час.*3мес.)+(10,6ч/час*100,2864руб./час*9 мес.)+(1,78руб./м.кв.*(3245,2+391)кв.м.*12мес.) </t>
  </si>
  <si>
    <t>13,69руб./кв.м.*1150кв.м.</t>
  </si>
  <si>
    <t>17,51руб./кв.м.*(3245,2+391)кв.м.</t>
  </si>
  <si>
    <t xml:space="preserve">(632,04руб./куб.м.+251,07/руб./куб.м./3)*12362куб.м./1000    </t>
  </si>
  <si>
    <t xml:space="preserve">(481,75000ч/час/12*3*96,4189руб./час.+(481,75000/12*9*100,2864руб./час)+(481,75000ч/час/12*3*96,4189руб./час.+(481,75000/12*9*100,2864руб./час)/1,302*25% </t>
  </si>
  <si>
    <t xml:space="preserve">3,05 руб./кв.м.*(3245,2+391)кв.м. </t>
  </si>
  <si>
    <t>3240,3кв.м.*13,48руб./кв.м.*12мес.</t>
  </si>
  <si>
    <t>Итого стоимость услуг/(3240,3+0)кв.м./12мес.</t>
  </si>
  <si>
    <r>
      <t xml:space="preserve">174чел.*(211,42руб./куб.м.в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</si>
  <si>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((0,82чел.*(3565руб.+200руб.)*1,5*1,15*1,083*1,302*3мес.)+(3708руб.+200руб.)*1,5*1,15*1,083*1,302*9мес.))+0,100руб./кв.м.асф.покр.*869,1кв.м.)*12 мес. </t>
  </si>
  <si>
    <t>174чел.*(360,84руб./куб.м.*0,025куб.м.*3мес.+362,52руб/куб.м.*0,025куб.м.*3мес.+382,25руб./куб.м.*0,025куб.м.*6мес.)</t>
  </si>
  <si>
    <t>0,26 руб./мес.*(425кв.м.)*12 мес.</t>
  </si>
  <si>
    <t>174чел.*(211,42руб./куб.м.в мес.*6мес.*1,45куб.м./12+226,93руб./куб.м.в мес.*6мес.*1,45куб.м./12)</t>
  </si>
  <si>
    <t xml:space="preserve">(9,46ч/час*(96,4189руб./час.*3мес.)+(9,46ч/час*100,2864руб./час*9 мес.)+(1,78руб./м.кв.*(3240,3+0)кв.м.*12мес.) </t>
  </si>
  <si>
    <t>13,69руб./кв.м.*1182кв.м.</t>
  </si>
  <si>
    <t>17,51руб./кв.м.*(3240,3+0)кв.м.</t>
  </si>
  <si>
    <t xml:space="preserve">(632,04руб./куб.м.+251,07/руб./куб.м./3)*13094куб.м./1000    </t>
  </si>
  <si>
    <t xml:space="preserve">(479,47000ч/час/12*3*96,4189руб./час.+(479,47000/12*9*100,2864руб./час)+(479,47000ч/час/12*3*96,4189руб./час.+(479,47000/12*9*100,2864руб./час)/1,302*25% </t>
  </si>
  <si>
    <t>3,05 руб./кв.м.*(3240,3+0)кв.м.</t>
  </si>
  <si>
    <t>233чел.*(360,84руб./куб.м.*0,025куб.м.*3мес.+362,52руб/куб.м.*0,025куб.м.*3мес.+382,25руб./куб.м.*0,025куб.м.*6мес.)</t>
  </si>
  <si>
    <t>30вент.*(16,86 руб.+17,53 руб.)</t>
  </si>
  <si>
    <t>233чел.*(211,42руб./куб.м.в мес.*6мес.*1,45куб.м./12+226,93руб./куб.м.в мес.*6мес.*1,45куб.м./12)</t>
  </si>
  <si>
    <t>0,59куб.м.*(232,80руб.*6мес.+243,11руб.*6мес.)</t>
  </si>
  <si>
    <t xml:space="preserve">(6,96ч/час*(96,4189руб./час.*3мес.)+(6,96ч/час*100,2864руб./час*9 мес.)+(1,78руб./м.кв.*(3002,3+61,3)кв.м.*12мес.) </t>
  </si>
  <si>
    <t>13,69руб./кв.м.*1055кв.м.</t>
  </si>
  <si>
    <t>17,51руб./кв.м.*(3002,3+61,3)кв.м.</t>
  </si>
  <si>
    <t xml:space="preserve">(632,04руб./куб.м.+251,07/руб./куб.м./3)*12285куб.м./1000    </t>
  </si>
  <si>
    <t xml:space="preserve">(300,63000ч/час/12*3*96,4189руб./час.+(300,63000/12*9*100,2864руб./час)+(300,63000ч/час/12*3*96,4189руб./час.+(300,63000/12*9*100,2864руб./час)/1,302*25% </t>
  </si>
  <si>
    <t>3,05 руб./кв.м.*(3002,3+61,3)кв.м.</t>
  </si>
  <si>
    <t>2583,2кв.м.*15,70руб.*12 мес.</t>
  </si>
  <si>
    <r>
      <t xml:space="preserve">233чел.*(211,42руб./куб.м.в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</si>
  <si>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r>
      <t xml:space="preserve">135чел.*(211,42руб./куб.м.в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</si>
  <si>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334,8кв.м.*15,70руб.*12мес.</t>
  </si>
  <si>
    <t>0,72куб.м.*(232,80руб.*1,18*6мес.+243,11руб.*1,18*6мес.)</t>
  </si>
  <si>
    <t>30,9кв.м.*15,70руб.*12мес.</t>
  </si>
  <si>
    <t>0,17куб.м.*(232,80руб.*1,18*6мес.+243,11руб.*1,18*6мес.)</t>
  </si>
  <si>
    <t>42,6кв.м.*15,70руб.*12мес.</t>
  </si>
  <si>
    <t xml:space="preserve">((0,54чел.*(3565руб.+200руб.)*1,5*1,15*1,083*1,302*3мес.)+(3708руб.+200руб.)*1,5*1,15*1,083*1,302*9мес.))+0,100руб./кв.м.асф.покр.*1255кв.м.)*12 мес. </t>
  </si>
  <si>
    <t>135чел.*(360,84руб./куб.м.*0,025куб.м.*3мес.+362,52руб/куб.м.*0,025куб.м.*3мес.+382,25руб./куб.м.*0,025куб.м.*6мес.)</t>
  </si>
  <si>
    <t>135чел.*(211,42руб./куб.м.в мес.*6мес.*1,45куб.м./12+226,93руб./куб.м.в мес.*6мес.*1,45куб.м./12)</t>
  </si>
  <si>
    <t xml:space="preserve">(9,4ч/час*(96,4189руб./час.*3мес.)+(9,4ч/час*100,2864руб./час*9 мес.)+(1,78руб./м.кв.*(2583,2+408,3)кв.м.*12мес.) </t>
  </si>
  <si>
    <t>13,69руб./кв.м.*1148кв.м.</t>
  </si>
  <si>
    <t>17,51руб./кв.м.*(2583,2+408,3)кв.м.</t>
  </si>
  <si>
    <t xml:space="preserve">(632,04руб./куб.м.+251,07/руб./куб.м./3)*10055куб.м./1000    </t>
  </si>
  <si>
    <t xml:space="preserve">(393,72000ч/час/12*3*96,4189руб./час.+(393,72000/12*9*100,2864руб./час)+(393,72000ч/час/12*3*96,4189руб./час.+(393,72000/12*9*100,2864руб./час)/1,302*25% </t>
  </si>
  <si>
    <t>3,05 руб./кв.м.*(2583,2+408,3)кв.м.</t>
  </si>
  <si>
    <t>2597кв.м.*14,28руб.*12 мес.</t>
  </si>
  <si>
    <r>
      <t xml:space="preserve">142чел.*(211,42руб./куб.м.в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</si>
  <si>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((0,71чел.*(3565руб.+200руб.)*1,5*1,15*1,083*1,302*3мес.)+(3708руб.+200руб.)*1,5*1,15*1,083*1,302*9мес.))+0,100руб./кв.м.асф.покр.*967,1кв.м.)*12 мес. </t>
  </si>
  <si>
    <t>142чел.*(360,84руб./куб.м.*0,025куб.м.*3мес.+362,52руб/куб.м.*0,025куб.м.*3мес.+382,25руб./куб.м.*0,025куб.м.*6мес.)</t>
  </si>
  <si>
    <t>142чел.*(211,42руб./куб.м.в мес.*6мес.*1,45куб.м./12+226,93руб./куб.м.в мес.*6мес.*1,45куб.м./12)</t>
  </si>
  <si>
    <t xml:space="preserve">(7,84ч/час*(96,4189руб./час.*3мес.)+(7,84ч/час*100,2864руб./час*9 мес.)+(1,78руб./м.кв.*(2597+0)кв.м.*12мес.) </t>
  </si>
  <si>
    <t>13,69руб./кв.м.*1154кв.м.</t>
  </si>
  <si>
    <t>17,51руб./кв.м.*(2597+0)кв.м.</t>
  </si>
  <si>
    <t xml:space="preserve">(632,04руб./куб.м.+251,07/руб./куб.м./3)*10031куб.м./1000    </t>
  </si>
  <si>
    <t>3,05руб./кв.м.*(2597+0)кв.м.</t>
  </si>
  <si>
    <t>2563,2кв.м.*13,69руб.*12мес.</t>
  </si>
  <si>
    <r>
      <t xml:space="preserve">141чел.*(211,42руб./куб.м.в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</si>
  <si>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((0,43чел.*(3565руб.+200руб.)*1,5*1,15*1,083*1,302*3мес.)+(3708руб.+200руб.)*1,5*1,15*1,083*1,302*9мес.))+0,100руб./кв.м.асф.покр.*907кв.м.)*12 мес. </t>
  </si>
  <si>
    <t>141чел.*(360,84руб./куб.м.*0,025куб.м.*3мес.+362,52руб/куб.м.*0,025куб.м.*3мес.+382,25руб./куб.м.*0,025куб.м.*6мес.)</t>
  </si>
  <si>
    <t>141чел.*(211,42руб./куб.м.в мес.*6мес.*1,45куб.м./12+226,93руб./куб.м.в мес.*6мес.*1,45куб.м./12)</t>
  </si>
  <si>
    <t xml:space="preserve">(7,8ч/час*(96,4189руб./час.*3мес.)+(7,8ч/час*100,2864руб./час*9 мес.)+(1,78руб./м.кв.*(2563,2+0)кв.м.*12мес.) </t>
  </si>
  <si>
    <t>17,51руб./кв.м.*(2563,2+0)кв.м.</t>
  </si>
  <si>
    <t xml:space="preserve">(395,5ч/час/12*3*96,4189руб./час.+(395,5/12*9*100,2864руб./час)+(395,5ч/час/12*3*96,4189руб./час.+(395,5/12*9*100,2864руб./час)/1,302*25% </t>
  </si>
  <si>
    <t xml:space="preserve">(632,04руб./куб.м.+251,07/руб./куб.м./3)*9868куб.м./1000    </t>
  </si>
  <si>
    <t xml:space="preserve">(393,24ч/час/12*3*96,4189руб./час.+(393,24/12*9*100,2864руб./час)+(393,24ч/час/12*3*96,4189руб./час.+(393,24/12*9*100,2864руб./час)/1,302*25% </t>
  </si>
  <si>
    <t>3,05 руб./кв.м.*(2563,2+0)кв.м.</t>
  </si>
  <si>
    <t>(Прямые расходы+Общеэксплуатационные расходы)*0,132**</t>
  </si>
  <si>
    <t>3186,6кв.м.*14,28руб.*12 мес.</t>
  </si>
  <si>
    <r>
      <t xml:space="preserve">166чел.*(211,42руб./куб.м.в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</si>
  <si>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((1,01чел.*(3565руб.+200руб.)*1,5*1,15*1,083*1,302*3мес.)+(3708руб.+200руб.)*1,5*1,15*1,083*1,302*9мес.))+0,100руб./кв.м.асф.покр.*1440,6кв.м.)*12 мес. </t>
  </si>
  <si>
    <t>166чел.*(360,84руб./куб.м.*0,025куб.м.*3мес.+362,52руб/куб.м.*0,025куб.м.*3мес.+382,25руб./куб.м.*0,025куб.м.*6мес.)</t>
  </si>
  <si>
    <t>166чел.*(211,42руб./куб.м.в мес.*6мес.*1,45куб.м./12+226,93руб./куб.м.в мес.*6мес.*1,45куб.м./12)</t>
  </si>
  <si>
    <t xml:space="preserve">(7,54ч/час*(96,4189руб./час.*3мес.)+(7,54ч/час*100,2864руб./час*9 мес.)+(1,78руб./м.кв.*(3186,6+0)кв.м.*12мес.) </t>
  </si>
  <si>
    <t>17,51руб./кв.м.*(3186,6+0)кв.м.</t>
  </si>
  <si>
    <t xml:space="preserve">(632,04руб./куб.м.+251,07/руб./куб.м./3)*12906куб.м./1000    </t>
  </si>
  <si>
    <t xml:space="preserve">(474,49ч/час/12*3*96,4189руб./час.+(474,49/12*9*100,2864руб./час)+(474,49ч/час/12*3*96,4189руб./час.+(474,49/12*9*100,2864руб./час)/1,302*25% </t>
  </si>
  <si>
    <t>3,05руб./кв.м.*(3186,6+0)кв.м.</t>
  </si>
  <si>
    <t>2574,2кв.м.*14,28руб.*12 мес.</t>
  </si>
  <si>
    <r>
      <t xml:space="preserve">134чел.*(211,42руб./куб.м.в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</si>
  <si>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((0,72чел.*(3565руб.+200руб.)*1,5*1,15*1,083*1,302*3мес.)+(3708руб.+200руб.)*1,5*1,15*1,083*1,302*9мес.))+0,100руб./кв.м.асф.покр.*1035,6кв.м.)*12 мес. </t>
  </si>
  <si>
    <t>134чел.*(360,84руб./куб.м.*0,025куб.м.*3мес.+362,52руб/куб.м.*0,025куб.м.*3мес.+382,25руб./куб.м.*0,025куб.м.*6мес.)</t>
  </si>
  <si>
    <t>134чел.*(211,42руб./куб.м.в мес.*6мес.*1,45куб.м./12+226,93руб./куб.м.в мес.*6мес.*1,45куб.м./12)</t>
  </si>
  <si>
    <t xml:space="preserve">(7,78ч/час*(96,4189руб./час.*3мес.)+(7,78ч/час*100,2864руб./час*9 мес.)+(1,78руб./м.кв.*(2574,2+0)кв.м.*12мес.) </t>
  </si>
  <si>
    <t>13,69руб./кв.м.*1144кв.м.</t>
  </si>
  <si>
    <t>17,51руб./кв.м.*(2574,2+0)кв.м.</t>
  </si>
  <si>
    <t xml:space="preserve">(632,04руб./куб.м.+251,07/руб./куб.м./3)*9939куб.м./1000    </t>
  </si>
  <si>
    <t xml:space="preserve">(393,34ч/час/12*3*96,4189руб./час.+(393,34/12*9*100,2864руб./час)+(393,34ч/час/12*3*96,4189руб./час.+(393,34/12*9*100,2864руб./час)/1,302*25% </t>
  </si>
  <si>
    <t>3,05 руб./кв.м.*(2574,2+0)кв.м.</t>
  </si>
  <si>
    <t>2567,7кв.м.*15,70руб.*12 мес.</t>
  </si>
  <si>
    <r>
      <t xml:space="preserve">128чел.*(211,42руб./куб.м.в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</si>
  <si>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((0,37чел.*(3565руб.+200руб.)*1,5*1,15*1,083*1,302*3мес.)+(3708руб.+200руб.)*1,5*1,15*1,083*1,302*9мес.))+0,100руб./кв.м.асф.покр.*782,4кв.м.)*12 мес. </t>
  </si>
  <si>
    <t>128чел.*(360,84руб./куб.м.*0,025куб.м.*3мес.+362,52руб/куб.м.*0,025куб.м.*3мес.+382,25руб./куб.м.*0,025куб.м.*6мес.)</t>
  </si>
  <si>
    <t>128чел.*(211,42руб./куб.м.в мес.*6мес.*1,45куб.м./12+226,93руб./куб.м.в мес.*6мес.*1,45куб.м./12)</t>
  </si>
  <si>
    <t xml:space="preserve">(7,78ч/час*(96,4189руб./час.*3мес.)+(7,78ч/час*100,2864руб./час*9 мес.)+(1,78руб./м.кв.*(2567,7+0)кв.м.*12мес.) </t>
  </si>
  <si>
    <t>13,69руб./кв.м.*1155кв.м.</t>
  </si>
  <si>
    <t>17,51руб./кв.м.*(2567,7+0)кв.м.</t>
  </si>
  <si>
    <t xml:space="preserve">(632,04руб./куб.м.+251,07/руб./куб.м./3)*10117куб.м./1000    </t>
  </si>
  <si>
    <t xml:space="preserve">(393,21ч/час/12*3*96,4189руб./час.+(393,21/12*9*100,2864руб./час)+(393,21ч/час/12*3*96,4189руб./час.+(393,21/12*9*100,2864руб./час)/1,302*25% </t>
  </si>
  <si>
    <t>3,05 руб./кв.м.*(2567,7+0)кв.м.</t>
  </si>
  <si>
    <t>3185,9кв.м.*12,19руб.*12 мес.</t>
  </si>
  <si>
    <r>
      <t xml:space="preserve">165чел.*(211,42руб./куб.м.в мес.*6мес.*1куб.м./12+226,93руб./куб.м.в мес.*6мес.*1куб.м./12)*1,18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</si>
  <si>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((0,89чел.*(3565руб.+200руб.)*1,5*1,15*1,083*1,302*3мес.)+(3708руб.+200руб.)*1,5*1,15*1,083*1,302*9мес.))+0,100руб./кв.м.асф.покр.*1149,1кв.м.)*12 мес. </t>
  </si>
  <si>
    <t>165чел.*(211,42руб./куб.м.в мес.*6мес.*1куб.м./12+226,93руб./куб.м.в мес.*6мес.*1куб.м./12)</t>
  </si>
  <si>
    <t xml:space="preserve">(8,47ч/час*(96,4189руб./час.*3мес.)+(8,47ч/час*100,2864руб./час*9 мес.)+(1,78руб./м.кв.*(3185,9+0)кв.м.*12мес.) </t>
  </si>
  <si>
    <t>17,51руб./кв.м.*(3185,9+0)кв.м.</t>
  </si>
  <si>
    <t xml:space="preserve">(632,04руб./куб.м.+251,07/руб./куб.м./3)*12130куб.м./1000    </t>
  </si>
  <si>
    <t xml:space="preserve">(477,35ч/час/12*3*96,4189руб./час.+(477,35/12*9*100,2864руб./час)+(477,35ч/час/12*3*96,4189руб./час.+(477,35/12*9*100,2864руб./час)/1,302*25% </t>
  </si>
  <si>
    <t>3,05руб./кв.м.*(3185,9+0)кв.м.</t>
  </si>
  <si>
    <t>Итого стоимость услуг/(3185,9+0)кв.м./12мес.</t>
  </si>
  <si>
    <t>3177,4кв.м.*14,28руб.*12 мес.</t>
  </si>
  <si>
    <r>
      <t xml:space="preserve">189чел.*(211,42руб./куб.м.в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</si>
  <si>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32кв.м.*14,28руб.*12мес.</t>
  </si>
  <si>
    <t>2,26куб.м.*(232,80руб.*1,18*6мес.+243,11руб.*1,18*6мес.)</t>
  </si>
  <si>
    <t xml:space="preserve">((0,83чел.*(3565руб.+200руб.)*1,5*1,15*1,083*1,302*3мес.)+(3708руб.+200руб.)*1,5*1,15*1,083*1,302*9мес.))+0,100руб./кв.м.асф.покр.*1570,4кв.м.)*12 мес. </t>
  </si>
  <si>
    <t>189чел.*(360,84руб./куб.м.*0,025куб.м.*3мес.+362,52руб/куб.м.*0,025куб.м.*3мес.+382,25руб./куб.м.*0,025куб.м.*6мес.)</t>
  </si>
  <si>
    <t>79вент.*(16,86 руб.+17,53 руб.)</t>
  </si>
  <si>
    <t>189чел.*(211,42руб./куб.м.в мес.*6мес.*1,45куб.м./12+226,93руб./куб.м.в мес.*6мес.*1,45куб.м./12)</t>
  </si>
  <si>
    <t>2,26куб.м.*(232,80руб.*6мес.+243,11руб.*6мес.)</t>
  </si>
  <si>
    <t xml:space="preserve">(8,53ч/час*(96,4189руб./час.*3мес.)+(8,53ч/час*100,2864руб./час*9 мес.)+(1,78руб./м.кв.*(3177,4+32)кв.м.*12мес.) </t>
  </si>
  <si>
    <t>17,51руб./кв.м.*(3177,40+32)кв.м.</t>
  </si>
  <si>
    <t xml:space="preserve">(632,04руб./куб.м.+251,07/руб./куб.м./3)*12904куб.м./1000    </t>
  </si>
  <si>
    <t xml:space="preserve">(475,40ч/час/12*3*96,4189руб./час.+(475,40/12*9*100,2864руб./час)+(475,40ч/час/12*3*96,4189руб./час.+(475,40/12*9*100,2864руб./час)/1,302*25% </t>
  </si>
  <si>
    <t>3,05 руб./кв.м.*(3177,40+32)кв.м.</t>
  </si>
  <si>
    <t>3138,4кв.м.*15,70руб.*12 мес.</t>
  </si>
  <si>
    <r>
      <t xml:space="preserve">169чел.*(211,42руб./куб.м.в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</si>
  <si>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40,5кв.м.*15,70руб.*12мес.</t>
  </si>
  <si>
    <t>78,1кв.м.*15,70руб.*12мес.</t>
  </si>
  <si>
    <t xml:space="preserve">((0,80чел.*(3565руб.+200руб.)*1,5*1,15*1,083*1,302*3мес.)+(3708руб.+200руб.)*1,5*1,15*1,083*1,302*9мес.))+0,100руб./кв.м.асф.покр.*1338,8кв.м.)*12 мес. </t>
  </si>
  <si>
    <t>169чел.*(360,84руб./куб.м.*0,025куб.м.*3мес.+362,52руб/куб.м.*0,025куб.м.*3мес.+382,25руб./куб.м.*0,025куб.м.*6мес.)</t>
  </si>
  <si>
    <t>169чел.*(211,42руб./куб.м.в мес.*6мес.*1,45куб.м./12+226,93руб./куб.м.в мес.*6мес.*1,45куб.м./12)</t>
  </si>
  <si>
    <t>2,05куб.м.*(232,80руб.*6мес.+243,11руб.*6мес.)</t>
  </si>
  <si>
    <t xml:space="preserve">(8,53ч/час*(96,4189руб./час.*3мес.)+(8,53ч/час*100,2864руб./час*9 мес.)+(1,78руб./м.кв.*(3138,4+118,6)кв.м.*12мес.) </t>
  </si>
  <si>
    <t>13,69руб./кв.м.*1159кв.м.</t>
  </si>
  <si>
    <t>17,51руб./кв.м.*(3138,4+118,6)кв.м.</t>
  </si>
  <si>
    <t xml:space="preserve">(632,04руб./куб.м.+251,07/руб./куб.м./3)*12907куб.м./1000    </t>
  </si>
  <si>
    <t xml:space="preserve">(469,45ч/час/12*3*96,4189руб./час.+(469,45/12*9*100,2864руб./час)+(469,45ч/час/12*3*96,4189руб./час.+(469,45/12*9*100,2864руб./час)/1,302*25% </t>
  </si>
  <si>
    <t>3,05 руб./кв.м.*(3138,4+118,6)кв.м.</t>
  </si>
  <si>
    <t>2576,7кв.м.*14,07руб./кв.м.*12мес.</t>
  </si>
  <si>
    <t>73,4кв.м.*14,07руб.*12мес.</t>
  </si>
  <si>
    <t>Итого стоимость услуг/(2576,7+73,4)кв.м./12мес.</t>
  </si>
  <si>
    <r>
      <t xml:space="preserve">126чел.*(211,42руб./куб.м.в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</si>
  <si>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1) Благотворительный фонд помощи незащищенным слоям населения "Ангел-Подорожник"(73,4кв.м.)</t>
  </si>
  <si>
    <t xml:space="preserve">((1,12чел.*(3565руб.+200руб.)*1,5*1,15*1,083*1,302*3мес.)+(3708руб.+200руб.)*1,5*1,15*1,083*1,302*9мес.))+0,100руб./кв.м.асф.покр.*1793кв.м.)*12 мес. </t>
  </si>
  <si>
    <t>126чел.*(360,84руб./куб.м.*0,025куб.м.*3мес.+362,52руб/куб.м.*0,025куб.м.*3мес.+382,25руб./куб.м.*0,025куб.м.*6мес.)</t>
  </si>
  <si>
    <t>78вент.*(16,86 руб.+17,53 руб.)</t>
  </si>
  <si>
    <t>0,26 руб./мес.*(279кв.м.)*12мес.</t>
  </si>
  <si>
    <t>126чел.*(211,42руб./куб.м.в мес.*6мес.*1,45куб.м./12+226,93руб./куб.м.в мес.*6мес.*1,45куб.м./12)</t>
  </si>
  <si>
    <t>0,07куб.м.*(232,80руб.*6мес.+243,11руб.*6мес.)</t>
  </si>
  <si>
    <t xml:space="preserve">(6,44ч/час*(96,4189руб./час.*3мес.)+(6,44ч/час*100,2864руб./час*9 мес.)+(1,78руб./м.кв.*(2576,7+73,4)кв.м.*12мес.) </t>
  </si>
  <si>
    <t>13,69руб./кв.м.*1140кв.м.</t>
  </si>
  <si>
    <t>17,51руб./кв.м.*(2576,7+73,4)кв.м.</t>
  </si>
  <si>
    <t xml:space="preserve">(632,04руб./куб.м.+251,07/руб./куб.м./3)*9920куб.м./1000    </t>
  </si>
  <si>
    <t xml:space="preserve">(393,42ч/час/12*3*96,4189руб./час.+(393,42/12*9*100,2864руб./час)+(393,42ч/час/12*3*96,4189руб./час.+(393,42/12*9*100,2864руб./час)/1,302*25% </t>
  </si>
  <si>
    <t>3,05 руб./кв.м.*(2576,7+73,4)кв.м.</t>
  </si>
  <si>
    <r>
      <t xml:space="preserve">170чел.*(211,42руб./куб.м.в мес.*6мес.*1куб.м./12+226,93руб./куб.м.в мес.*6мес.*1куб.м./12)*1,18  </t>
    </r>
    <r>
      <rPr>
        <b/>
        <sz val="10"/>
        <rFont val="Times New Roman"/>
        <family val="1"/>
        <charset val="204"/>
      </rPr>
      <t xml:space="preserve"> </t>
    </r>
  </si>
  <si>
    <t>3,18куб.м.*(232,80руб.*1,18*6мес.+243,11руб.*1,18*6мес.)</t>
  </si>
  <si>
    <t xml:space="preserve">((0,70чел.*(3565руб.+200руб.)*1,5*1,15*1,083*1,302*3мес.)+(3708руб.+200руб.)*1,5*1,15*1,083*1,302*9мес.))+0,100руб./кв.м.асф.покр.*1227,2кв.м.)*12 мес. </t>
  </si>
  <si>
    <t>170чел.*(360,84руб./куб.м.*0,025куб.м.*3мес.+362,52руб/куб.м.*0,025куб.м.*3мес.+382,25руб./куб.м.*0,025куб.м.*6мес.)</t>
  </si>
  <si>
    <t>74вент.*(16,86 руб.+17,53 руб.)</t>
  </si>
  <si>
    <t>170чел.*(211,42руб./куб.м.в мес.*6мес.*1куб.м./12+226,93руб./куб.м.в мес.*6мес.*1куб.м./12)</t>
  </si>
  <si>
    <t>13,69руб./кв.м.*1139кв.м.</t>
  </si>
  <si>
    <t xml:space="preserve">(632,04руб./куб.м.+251,07/руб./куб.м./3)*12962куб.м./1000    </t>
  </si>
  <si>
    <t xml:space="preserve">(409,49ч/час/12*3*96,4189руб./час.+(409,49/12*9*100,2864руб./час)+(409,49ч/час/12*3*96,4189руб./час.+(409,49/12*9*100,2864руб./час)/1,302*25% </t>
  </si>
  <si>
    <t>2421,4кв.м.*13,24руб.*12 мес.</t>
  </si>
  <si>
    <r>
      <t xml:space="preserve">126чел.*(211,42руб./куб.м.в мес.*6мес.*1куб.м./12+226,93руб./куб.м.в мес.*6мес.*1куб.м./12)*1,18  </t>
    </r>
    <r>
      <rPr>
        <b/>
        <sz val="10"/>
        <rFont val="Times New Roman"/>
        <family val="1"/>
        <charset val="204"/>
      </rPr>
      <t xml:space="preserve"> </t>
    </r>
  </si>
  <si>
    <t>72,1кв.м.*13,24руб.*12мес.</t>
  </si>
  <si>
    <t>96,7кв.м.*13,24руб.*12мес.</t>
  </si>
  <si>
    <t>0,50куб.м.*(232,80руб.*1,18*6мес.+243,11руб.*1,18*6мес.)</t>
  </si>
  <si>
    <t>32кв.м.*13,24руб.*12мес.</t>
  </si>
  <si>
    <t xml:space="preserve">((1,07чел.*(3565руб.+200руб.)*1,5*1,15*1,083*1,302*3мес.)+(3708руб.+200руб.)*1,5*1,15*1,083*1,302*9мес.))+0,100руб./кв.м.асф.покр.*1779,4кв.м.)*12 мес. </t>
  </si>
  <si>
    <t>59вент.*(16,86 руб.+17,53 руб.)</t>
  </si>
  <si>
    <t>126чел.*(211,42руб./куб.м.в мес.*6мес.*1куб.м./12+226,93руб./куб.м.в мес.*6мес.*1куб.м./12)</t>
  </si>
  <si>
    <t>2,58куб.м.*(232,80руб.*6мес.+243,11руб.*6мес.)</t>
  </si>
  <si>
    <t xml:space="preserve">(7,71ч/час*(96,4189руб./час.*3мес.)+(7,71ч/час*100,2864руб./час*9 мес.)+(1,78руб./м.кв.*(2421,4+200,8)кв.м.*12мес.) </t>
  </si>
  <si>
    <t>13,69руб./кв.м.*1150,00кв.м.</t>
  </si>
  <si>
    <t>17,51руб./кв.м.*(2421,4+200,8)кв.м.</t>
  </si>
  <si>
    <t xml:space="preserve">(632,04руб./куб.м.+251,07/руб./куб.м./3)*10096куб.м./1000    </t>
  </si>
  <si>
    <t xml:space="preserve">(371,29ч/час/12*3*96,4189руб./час.+(371,29/12*9*100,2864руб./час)+(371,29ч/час/12*3*96,4189руб./час.+(371,29/12*9*100,2864руб./час)/1,302*25% </t>
  </si>
  <si>
    <t>3,05руб./кв.м.*(2421,40кв.м.+200,8кв.м.)</t>
  </si>
  <si>
    <t>2561,4кв.м.*14,28руб.*12 мес.</t>
  </si>
  <si>
    <r>
      <t xml:space="preserve">122чел.*(211,42руб./куб.м.в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</si>
  <si>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356,8кв.м.*14,28руб.*12мес.</t>
  </si>
  <si>
    <t>40кв.м.*14,28руб.*12мес.</t>
  </si>
  <si>
    <t>…...кв.м.*14,28руб.*12мес.</t>
  </si>
  <si>
    <t>0,44куб.м.*(232,80руб.*1,18*6мес.+243,11руб.*1,18*6мес.)</t>
  </si>
  <si>
    <t xml:space="preserve">((0,56чел.*(3565руб.+200руб.)*1,5*1,15*1,083*1,302*3мес.)+(3708руб.+200руб.)*1,5*1,15*1,083*1,302*9мес.))+0,100руб./кв.м.асф.покр.*1335,7кв.м.)*12 мес. </t>
  </si>
  <si>
    <t>122чел.*(360,84руб./куб.м.*0,025куб.м.*3мес.+362,52руб/куб.м.*0,025куб.м.*3мес.+382,25руб./куб.м.*0,025куб.м.*6мес.)</t>
  </si>
  <si>
    <t>63вент.*(16,86 руб.+17,53 руб.)</t>
  </si>
  <si>
    <t>122чел.*(211,42руб./куб.м.в мес.*6мес.*1,45куб.м./12+226,93руб./куб.м.в мес.*6мес.*1,45куб.м./12)</t>
  </si>
  <si>
    <t>1,45куб.м.*(232,80руб.*6мес.+243,11руб.*6мес.)</t>
  </si>
  <si>
    <t xml:space="preserve">(9,15ч/час*(96,4189руб./час.*3мес.)+(9,15ч/час*100,2864руб./час*9 мес.)+(1,78руб./м.кв.*(2561,4+396,8)кв.м.*12мес.) </t>
  </si>
  <si>
    <t>17,51руб./кв.м.*(2561,4+396,8)кв.м.</t>
  </si>
  <si>
    <t xml:space="preserve">(632,04руб./куб.м.+251,07/руб./куб.м./3)*11246куб.м./1000    </t>
  </si>
  <si>
    <t xml:space="preserve">(389,24ч/час/12*3*96,4189руб./час.+(389,24/12*9*100,2864руб./час)+(389,24ч/час/12*3*96,4189руб./час.+(389,24/12*9*100,2864руб./час)/1,302*25% </t>
  </si>
  <si>
    <t>3,05 руб./кв.м.*(2561,4+396,8)кв.м.</t>
  </si>
  <si>
    <t>2015,4кв.м.*14,28руб.*12 мес.</t>
  </si>
  <si>
    <r>
      <t xml:space="preserve">108чел.*(211,42руб./куб.м.в мес.*6мес.*1куб.м./12+226,93руб./куб.м.в мес.*6мес.*1куб.м./12)*1,18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</si>
  <si>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((0,44чел.*(3565руб.+200руб.)*1,5*1,15*1,083*1,302*3мес.)+(3708руб.+200руб.)*1,5*1,15*1,083*1,302*9мес.))+0,100руб./кв.м.асф.покр.*710кв.м.)*12 мес. </t>
  </si>
  <si>
    <t>108чел.*(360,84руб./куб.м.*0,025куб.м.*3мес.+362,52руб/куб.м.*0,025куб.м.*3мес.+382,25руб./куб.м.*0,025куб.м.*6мес.)</t>
  </si>
  <si>
    <t>48вент.*(16,86 руб.+17,53 руб.)</t>
  </si>
  <si>
    <t>108чел.*(211,42руб./куб.м.в мес.*6мес.*1куб.м./12+226,93руб./куб.м.в мес.*6мес.*1куб.м./12)</t>
  </si>
  <si>
    <t xml:space="preserve">(5,35ч/час*(96,4189руб./час.*3мес.)+(5,35ч/час*100,2864руб./час*9 мес.)+(1,78руб./м.кв.*(2015,4+0)кв.м.*12мес.) </t>
  </si>
  <si>
    <t>13,69руб./кв.м.*982кв.м.</t>
  </si>
  <si>
    <t>17,51руб./кв.м.*(2015,4+0)кв.м.</t>
  </si>
  <si>
    <t xml:space="preserve">(632,04руб./куб.м.+251,07/руб./куб.м./3)*7910куб.м./1000    </t>
  </si>
  <si>
    <t xml:space="preserve">(276,36ч/час/12*3*96,4189руб./час.+(276,36/12*9*100,2864руб./час)+(276,36ч/час/12*3*96,4189руб./час.+(276,36/12*9*100,2864руб./час)/1,302*25% </t>
  </si>
  <si>
    <t>3,05 руб./кв.м.*(2015,4+0)кв.м.</t>
  </si>
  <si>
    <t>1529кв.м.*13,48руб.*12 мес.</t>
  </si>
  <si>
    <r>
      <t xml:space="preserve">79чел.*(211,42руб./куб.м.в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</si>
  <si>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74,3кв.м.*13,48руб.*12мес.</t>
  </si>
  <si>
    <t>2,05куб.м.*(232,80руб.*1,18*6мес.+243,11руб.*1,18*6мес.)</t>
  </si>
  <si>
    <t>96,2кв.м.*13,48руб.*12мес.</t>
  </si>
  <si>
    <t>171кв.м.*13,48руб.*12мес.</t>
  </si>
  <si>
    <t>171,5кв.м.*13,48руб.*12мес.</t>
  </si>
  <si>
    <t>0,43куб.м.*(232,80руб.*1,18*6мес.+243,11руб.*1,18*6мес.)</t>
  </si>
  <si>
    <t>1) ФГУП "Почта России" (171,5кв.м.)</t>
  </si>
  <si>
    <t xml:space="preserve">((0,61чел.*(3565руб.+200руб.)*1,5*1,15*1,083*1,302*3мес.)+(3708руб.+200руб.)*1,5*1,15*1,083*1,302*9мес.))+0,100руб./кв.м.асф.покр.*1191кв.м.)*12 мес. </t>
  </si>
  <si>
    <t>79чел.*(360,84руб./куб.м.*0,025куб.м.*3мес.+362,52руб/куб.м.*0,025куб.м.*3мес.+382,25руб./куб.м.*0,025куб.м.*6мес.)</t>
  </si>
  <si>
    <t>37вент.*(16,86 руб.+17,53 руб.)</t>
  </si>
  <si>
    <t>37дым.*(49,72 руб.*2 раза с год+51,71руб.*2 раза в год)</t>
  </si>
  <si>
    <t>79чел.*(211,42руб./куб.м.в мес.*6мес.*1,45куб.м./12+226,93руб./куб.м.в мес.*6мес.*1,45куб.м./12)</t>
  </si>
  <si>
    <t>5,12куб.м.*(232,80руб.*6мес.+243,11руб.*6мес.)</t>
  </si>
  <si>
    <t xml:space="preserve">(5,05ч/час*(96,4189руб./час.*3мес.)+(5,05ч/час*100,2864руб./час*9 мес.)+(1,78руб./м.кв.*(1529+513)кв.м.*12мес.) </t>
  </si>
  <si>
    <t xml:space="preserve">(632,04руб./куб.м.+251,07/руб./куб.м./3)*8327куб.м./1000    </t>
  </si>
  <si>
    <t xml:space="preserve">(181,45ч/час/12*3*96,4189руб./час.+(181,45/12*9*100,2864руб./час)+(181,45ч/час/12*3*96,4189руб./час.+(181,45/12*9*100,2864руб./час)/1,302*25% </t>
  </si>
  <si>
    <t>3,05 руб./кв.м.*(1529+513)кв.м.</t>
  </si>
  <si>
    <t>17,51руб./кв.м.*(1529+513)кв.м.</t>
  </si>
  <si>
    <t>Итого стоимость услуг/(1529+513)кв.м./12мес.</t>
  </si>
  <si>
    <t>2546,9кв.м.*14,83руб./кв.м.*12мес.</t>
  </si>
  <si>
    <t>577,54руб./мес.*12мес.</t>
  </si>
  <si>
    <t>Итого стоимость услуг/(2550+0)кв.м./12мес.</t>
  </si>
  <si>
    <r>
      <t xml:space="preserve">133чел.*(211,42руб./куб.м.в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</si>
  <si>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((0,40чел.*(3565руб.+200руб.)*1,5*1,15*1,083*1,302*3мес.)+(3708руб.+200руб.)*1,5*1,15*1,083*1,302*9мес.))+0,100руб./кв.м.асф.покр.*736кв.м.)*12 мес. </t>
  </si>
  <si>
    <t>133чел.*(360,84руб./куб.м.*0,025куб.м.*3мес.+362,52руб/куб.м.*0,025куб.м.*3мес.+382,25руб./куб.м.*0,025куб.м.*6мес.)</t>
  </si>
  <si>
    <t>0,26 руб./мес.*(244кв.м.)*12 мес.</t>
  </si>
  <si>
    <t>133чел.*(211,42руб./куб.м.в мес.*6мес.*1,45куб.м./12+226,93руб./куб.м.в мес.*6мес.*1,45куб.м./12)</t>
  </si>
  <si>
    <t xml:space="preserve">(5,98ч/час*(96,4189руб./час.*3мес.)+(5,98ч/час*100,2864руб./час*9 мес.)+(1,78руб./м.кв.*(2546,9+0)кв.м.*12мес.) </t>
  </si>
  <si>
    <t>13,69руб./кв.м.*851кв.м.</t>
  </si>
  <si>
    <t>17,51руб./кв.м.*(2546,9+0)кв.м.</t>
  </si>
  <si>
    <t xml:space="preserve">(632,04руб./куб.м.+251,07/руб./куб.м./3)*10000куб.м./1000    </t>
  </si>
  <si>
    <t xml:space="preserve">(341,22ч/час/12*3*96,4189руб./час.+(341,22/12*9*100,2864руб./час)+(341,22ч/час/12*3*96,4189руб./час.+(341,22/12*9*100,2864руб./час)/1,302*25% </t>
  </si>
  <si>
    <t>3,05 руб./кв.м.*(2546,9+0)кв.м.</t>
  </si>
  <si>
    <t>366,3кв.м.*15,70руб.*12 мес.</t>
  </si>
  <si>
    <r>
      <t xml:space="preserve">36чел.*(211,42руб./куб.м.в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</si>
  <si>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((0,66чел.*(3565руб.+200руб.)*1,5*1,15*1,083*1,302*3мес.)+(3708руб.+200руб.)*1,5*1,15*1,083*1,302*9мес.))+0,100руб./кв.м.асф.покр.*1426кв.м.)*12 мес. </t>
  </si>
  <si>
    <t>36чел.*(360,84руб./куб.м.*0,025куб.м.*3мес.+362,52руб/куб.м.*0,025куб.м.*3мес.+382,25руб./куб.м.*0,025куб.м.*6мес.)</t>
  </si>
  <si>
    <t>8вент.*(16,86 руб.+17,53 руб.)</t>
  </si>
  <si>
    <t>8дым.*(49,72 руб.*2 раза с год+51,71руб.*2 раза в год)</t>
  </si>
  <si>
    <t>36чел.*(211,42руб./куб.м.в мес.*6мес.*1,45куб.м./12+226,93руб./куб.м.в мес.*6мес.*1,45куб.м./12)</t>
  </si>
  <si>
    <t xml:space="preserve">(4,38ч/час*(96,4189руб./час.*3мес.)+(4,38ч/час*100,2864руб./час*9 мес.)+(1,78руб./м.кв.*(366,3+0)кв.м.*12мес.) </t>
  </si>
  <si>
    <t>13,69руб./кв.м.*333кв.м.</t>
  </si>
  <si>
    <t>17,51руб./кв.м.*(366,3+0)кв.м.</t>
  </si>
  <si>
    <t xml:space="preserve">(632,04руб./куб.м.+251,07/руб./куб.м./3)*1802куб.м./1000    </t>
  </si>
  <si>
    <t xml:space="preserve">(34,56ч/час/12*3*96,4189руб./час.+(34,56/12*9*100,2864руб./час)+(34,56ч/час/12*3*96,4189руб./час.+(34,56/12*9*100,2864руб./час)/1,302*25% </t>
  </si>
  <si>
    <t>3,05 руб./кв.м.*(366,3+0)кв.м.</t>
  </si>
  <si>
    <t>3530,4кв.м.*14,83руб./кв.м.*12мес.</t>
  </si>
  <si>
    <t>191,1кв.м.*14,83руб.*12мес.</t>
  </si>
  <si>
    <t>106кв.м.*14,83руб.*12мес.</t>
  </si>
  <si>
    <t>126,1кв.м.*14,83руб.*12мес.</t>
  </si>
  <si>
    <t>58,4кв.м.*14,83руб.*12мес.</t>
  </si>
  <si>
    <r>
      <t xml:space="preserve">204чел.*(211,42руб./куб.м.в мес.*6мес.*1куб.м./12+226,93руб./куб.м.в мес.*6мес.*1куб.м./12)*1,18  </t>
    </r>
    <r>
      <rPr>
        <b/>
        <sz val="10"/>
        <rFont val="Times New Roman"/>
        <family val="1"/>
        <charset val="204"/>
      </rPr>
      <t xml:space="preserve"> </t>
    </r>
  </si>
  <si>
    <t>2,35куб.м.*(232,80руб.*1,18*6мес.+243,11руб.*1,18*6мес.)</t>
  </si>
  <si>
    <t>0,85куб.м.*(232,80руб.*1,18*6мес.+243,11руб.*1,18*6мес.)</t>
  </si>
  <si>
    <t>5) ИП Муратназаров К.Х. (55,6кв.м.)</t>
  </si>
  <si>
    <t>55,6кв.м.*14,83руб.*12мес.</t>
  </si>
  <si>
    <t>2,64куб.м.*(232,80руб.*1,18*6мес.+243,11руб.*1,18*6мес.)</t>
  </si>
  <si>
    <t xml:space="preserve">((0,63чел.*(3565руб.+200руб.)*1,5*1,15*1,083*1,302*3мес.)+(3708руб.+200руб.)*1,5*1,15*1,083*1,302*9мес.))+0,100руб./кв.м.асф.покр.*1236кв.м.)*12 мес. </t>
  </si>
  <si>
    <t>204чел.*(360,84руб./куб.м.*0,025куб.м.*3мес.+362,52руб/куб.м.*0,025куб.м.*3мес.+382,25руб./куб.м.*0,025куб.м.*6мес.)</t>
  </si>
  <si>
    <t>08дым.*(49,72 руб.*2 раза с год+51,71руб.*2 раза в год)</t>
  </si>
  <si>
    <t>0,26 руб./мес.*296в.м.*12мес.</t>
  </si>
  <si>
    <t>204чел.*(211,42руб./куб.м.в мес.*6мес.*1куб.м./12+226,93руб./куб.м.в мес.*6мес.*1куб.м./12)</t>
  </si>
  <si>
    <t>5,84куб.м.*(232,80руб.*6мес.+243,11руб.*6мес.)</t>
  </si>
  <si>
    <t xml:space="preserve">(7,19ч/час*(96,4189руб./час.*3мес.)+(7,19ч/час*100,2864руб./час*9 мес.)+(1,78руб./м.кв.*(3530,4+537,2)кв.м.*12мес.) </t>
  </si>
  <si>
    <t>13,69руб./кв.м.*1100кв.м.</t>
  </si>
  <si>
    <t>17,51руб./кв.м.*(3530,4+537,2)кв.м.</t>
  </si>
  <si>
    <t xml:space="preserve">(632,04руб./куб.м.+251,07/руб./куб.м./3)*15381куб.м./1000    </t>
  </si>
  <si>
    <t xml:space="preserve">(506,12ч/час/12*3*96,4189руб./час.+(506,12/12*9*100,2864руб./час)+(506,12ч/час/12*3*96,4189руб./час.+(506,12/12*9*100,2864руб./час)/1,302*25% </t>
  </si>
  <si>
    <t>3,05 руб./кв.м.*(3530,4+537,2)кв.м.</t>
  </si>
  <si>
    <t>Итого стоимость услуг/(3530,4+537,2)кв.м./12мес.</t>
  </si>
  <si>
    <t>423,8кв.м.*15,70руб.*12 мес.</t>
  </si>
  <si>
    <r>
      <t xml:space="preserve">27чел.*(211,42руб./куб.м.в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</si>
  <si>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((0,35чел.*(3565руб.+200руб.)*1,5*1,15*1,083*1,302*3мес.)+(3708руб.+200руб.)*1,5*1,15*1,083*1,302*9мес.))+0,100руб./кв.м.асф.покр.*662кв.м.)*12 мес. </t>
  </si>
  <si>
    <t>27чел.*(360,84руб./куб.м.*0,025куб.м.*3мес.+362,52руб/куб.м.*0,025куб.м.*3мес.+382,25руб./куб.м.*0,025куб.м.*6мес.)</t>
  </si>
  <si>
    <t>27чел.*(211,42руб./куб.м.в мес.*6мес.*1,45куб.м./12+226,93руб./куб.м.в мес.*6мес.*1,45куб.м./12)</t>
  </si>
  <si>
    <t xml:space="preserve">(3,12ч/час*(96,4189руб./час.*3мес.)+(3,12ч/час*100,2864руб./час*9 мес.)+(1,78руб./м.кв.*(423,8+0)кв.м.*12мес.) </t>
  </si>
  <si>
    <t>13,69руб./кв.м.*364кв.м.</t>
  </si>
  <si>
    <t>17,51руб./кв.м.*(423,8+0)кв.м.</t>
  </si>
  <si>
    <t xml:space="preserve">(632,04руб./куб.м.+251,07/руб./куб.м./3)*2263куб.м./1000    </t>
  </si>
  <si>
    <t xml:space="preserve">(37,15ч/час/12*3*96,4189руб./час.+(37,15/12*9*100,2864руб./час)+(37,15ч/час/12*3*96,4189руб./час.+(37,15/12*9*100,2864руб./час)/1,302*25% </t>
  </si>
  <si>
    <t>3,05 руб./кв.м.*(423,8+0)кв.м.</t>
  </si>
  <si>
    <t>414,9кв.м.*15,70руб.*12 мес.</t>
  </si>
  <si>
    <r>
      <t xml:space="preserve">30чел.*(211,42руб./куб.м.в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</si>
  <si>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 xml:space="preserve">((0,36чел.*(3565руб.+200руб.)*1,5*1,15*1,083*1,302*3мес.)+(3708руб.+200руб.)*1,5*1,15*1,083*1,302*9мес.))+0,100руб./кв.м.асф.покр.*649кв.м.)*12 мес. </t>
  </si>
  <si>
    <t>30чел.*(360,84руб./куб.м.*0,025куб.м.*3мес.+362,52руб/куб.м.*0,025куб.м.*3мес.+382,25руб./куб.м.*0,025куб.м.*6мес.)</t>
  </si>
  <si>
    <t>30чел.*(211,42руб./куб.м.в мес.*6мес.*1,45куб.м./12+226,93руб./куб.м.в мес.*6мес.*1,45куб.м./12)</t>
  </si>
  <si>
    <t xml:space="preserve">(3,11ч/час*(96,4189руб./час.*3мес.)+(3,11ч/час*100,2864руб./час*9 мес.)+(1,78руб./м.кв.*(414,9+0)кв.м.*12мес.) </t>
  </si>
  <si>
    <t>13,69руб./кв.м.*352кв.м.</t>
  </si>
  <si>
    <t>17,51руб./кв.м.*(414,9+0)кв.м.</t>
  </si>
  <si>
    <t xml:space="preserve">(632,04руб./куб.м.+251,07/руб./куб.м./3)*2183куб.м./1000    </t>
  </si>
  <si>
    <t xml:space="preserve">(41,87ч/час/12*3*96,4189руб./час.+(41,87/12*9*100,2864руб./час)+(41,87ч/час/12*3*96,4189руб./час.+(41,87/12*9*100,2864руб./час)/1,302*25% </t>
  </si>
  <si>
    <t>3,05 руб./кв.м.*(414,9+0)кв.м.</t>
  </si>
  <si>
    <t>388,3кв.м.*14,28руб.*12 мес.</t>
  </si>
  <si>
    <t>15кв.м.*14,28руб.*12мес.</t>
  </si>
  <si>
    <t xml:space="preserve">((0,30чел.*(3565руб.+200руб.)*1,5*1,15*1,083*1,302*3мес.)+(3708руб.+200руб.)*1,5*1,15*1,083*1,302*9мес.))+0,100руб./кв.м.асф.покр.*581кв.м.)*12 мес. </t>
  </si>
  <si>
    <t xml:space="preserve">(4,45ч/час*(96,4189руб./час.*3мес.)+(4,45ч/час*100,2864руб./час*9 мес.)+(1,78руб./м.кв.*(388,3+15)кв.м.*12мес.) </t>
  </si>
  <si>
    <t>13,69руб./кв.м.*349кв.м.</t>
  </si>
  <si>
    <t>17,51руб./кв.м.*(388,3+15)кв.м.</t>
  </si>
  <si>
    <t xml:space="preserve">(632,04руб./куб.м.+251,07/руб./куб.м./3)*1890куб.м./1000    </t>
  </si>
  <si>
    <t xml:space="preserve">(40,8ч/час/12*3*96,4189руб./час.+(40,8/12*9*100,2864руб./час)+(40,8ч/час/12*3*96,4189руб./час.+(40,8/12*9*100,2864руб./час)/1,302*25% </t>
  </si>
  <si>
    <t>3,05 руб./кв.м.*(388,3+15)кв.м.</t>
  </si>
  <si>
    <t>1512,8кв.м.*14,83руб.*12 мес.</t>
  </si>
  <si>
    <r>
      <t xml:space="preserve">72чел.*(211,42руб./куб.м.в мес.*6мес.*1,45куб.м./12+226,93руб./куб.м.в мес.*6мес.*1,45куб.м./12)*1,18  </t>
    </r>
    <r>
      <rPr>
        <b/>
        <sz val="10"/>
        <rFont val="Times New Roman"/>
        <family val="1"/>
        <charset val="204"/>
      </rPr>
      <t xml:space="preserve"> </t>
    </r>
  </si>
  <si>
    <t>1) Шмырина Т.В. (41,6кв.м.)</t>
  </si>
  <si>
    <t>41,6кв.м.*14,83руб.*12мес.</t>
  </si>
  <si>
    <t>0,64куб.м.*(232,80руб.*1,18*6мес.+243,11руб.*1,18*6мес.)</t>
  </si>
  <si>
    <t>60,7кв.м.*14,83руб.*12мес.</t>
  </si>
  <si>
    <t xml:space="preserve">((0,70чел.*(3565руб.+200руб.)*1,5*1,15*1,083*1,302*3мес.)+(3708руб.+200руб.)*1,5*1,15*1,083*1,302*9мес.))+0,100руб./кв.м.асф.покр.*1153кв.м.)*12 мес. </t>
  </si>
  <si>
    <t>72чел.*(360,84руб./куб.м.*0,025куб.м.*3мес.+362,52руб/куб.м.*0,025куб.м.*3мес.+382,25руб./куб.м.*0,025куб.м.*6мес.)</t>
  </si>
  <si>
    <t>34вент.*(16,86 руб.+17,53 руб.)</t>
  </si>
  <si>
    <t>34дым.*(49,72 руб.*2 раза с год+51,71руб.*2 раза в год)</t>
  </si>
  <si>
    <t>72чел.*(211,42руб./куб.м.в мес.*6мес.*1,45куб.м./12+226,93руб./куб.м.в мес.*6мес.*1,45куб.м./12)</t>
  </si>
  <si>
    <t>2куб.м.*(232,80руб.*6мес.+243,11руб.*6мес.)</t>
  </si>
  <si>
    <t xml:space="preserve">(5,08ч/час*(96,4189руб./час.*3мес.)+(5,08ч/час*100,2864руб./час*9 мес.)+(1,78руб./м.кв.*(1469,8+102,3)кв.м.*12мес.) </t>
  </si>
  <si>
    <t>13,69руб./кв.м.*918кв.м.</t>
  </si>
  <si>
    <t>Итого стоимость услуг/(1469,8+102,3)кв.м./12мес.</t>
  </si>
  <si>
    <t>17,51руб./кв.м.*(1469,8+102,3)кв.м.</t>
  </si>
  <si>
    <t xml:space="preserve">(632,04руб./куб.м.+251,07/руб./куб.м./3)*6426куб.м./1000    </t>
  </si>
  <si>
    <t xml:space="preserve">(172,63ч/час/12*3*96,4189руб./час.+(172,63/12*9*100,2864руб./час)+(172,63ч/час/12*3*96,4189руб./час.+(172,63/12*9*100,2864руб./час)/1,302*25% </t>
  </si>
  <si>
    <t>3,05руб./кв.м.*(1469,8+102,3)кв.м.</t>
  </si>
  <si>
    <t>1227,7кв.м.*15,70руб.*12 мес.</t>
  </si>
  <si>
    <t xml:space="preserve">((1,33чел.*(3565руб.+200руб.)*1,5*1,15*1,083*1,302*3мес.)+(3708руб.+200руб.)*1,5*1,15*1,083*1,302*9мес.))+0,100руб./кв.м.асф.покр.*575кв.м.)*12 мес. </t>
  </si>
  <si>
    <t>31вент.*(16,86 руб.+17,53 руб.)</t>
  </si>
  <si>
    <t>31дым.*(49,72 руб.*2 раза с год+51,71руб.*2 раза в год)</t>
  </si>
  <si>
    <t>13,69руб./кв.м.*564кв.м.</t>
  </si>
  <si>
    <t xml:space="preserve">(632,04руб./куб.м.+251,07/руб./куб.м./3)*5015куб.м./1000    </t>
  </si>
  <si>
    <t xml:space="preserve">(40,81ч/час/12*3*96,4189руб./час.+(40,81/12*9*100,2864руб./час)+(40,81ч/час/12*3*96,4189руб./час.+(40,81/12*9*100,2864руб./час)/1,302*25% </t>
  </si>
  <si>
    <t>3) Павлов Д.В. (42,6кв.м.)</t>
  </si>
  <si>
    <t>0,89куб.м.*(232,80руб.*6мес.+243,11руб.*6мес.)</t>
  </si>
  <si>
    <t>3) Рожков А.Д. (62,3кв.м.)</t>
  </si>
  <si>
    <t>62,3кв.м.*12,62руб.*12мес.</t>
  </si>
  <si>
    <t>3,77куб.м.*(232,80руб.*6мес.+243,11руб.*6мес.)</t>
  </si>
  <si>
    <t>17,51руб./кв.м.*(2967,6+365,20)кв.м.</t>
  </si>
  <si>
    <t>3,05 руб./кв.м.*(2967,6+365,20)кв.м.</t>
  </si>
  <si>
    <t>Итого стоимость услуг/(2967,6+365,20)кв.м./12мес.</t>
  </si>
  <si>
    <t xml:space="preserve">(8,3ч/час*(96,4189руб./час.*3мес.)+(8,3ч/час*100,2864руб./час*9 мес.)+(1,78руб./м.кв.*(2967,6+365,20)кв.м.*12мес.) </t>
  </si>
  <si>
    <t>есть она или нет</t>
  </si>
  <si>
    <t>1) Габдракипов Р.Р. (42,3кв.м.)</t>
  </si>
  <si>
    <t>42,3кв.м.*15,70руб.*12мес.</t>
  </si>
  <si>
    <t>0,55куб.м.*(232,80руб.*1,18*6мес.+243,11руб.*1,18*6мес.)</t>
  </si>
  <si>
    <t>0,55куб.м.*(232,80руб.*6мес.+243,11руб.*6мес.)</t>
  </si>
  <si>
    <t xml:space="preserve">(4,45ч/час*(96,4189руб./час.*3мес.)+(4,45ч/час*100,2864руб./час*9 мес.)+(1,78руб./м.кв.*(1227,7+42,3)кв.м.*12мес.) </t>
  </si>
  <si>
    <t>17,51руб./кв.м.*(1227,7+42,3)кв.м.</t>
  </si>
  <si>
    <t>3,05руб./кв.м.*(1227,7+42,3)кв.м.</t>
  </si>
  <si>
    <t>Итого стоимость услуг/(1227,7+42,3)кв.м./12мес.</t>
  </si>
  <si>
    <t>1,49руб./кв.м*(1087,8+370,2)кв.м.</t>
  </si>
  <si>
    <t>1,49руб./кв.м*(2517,7+83,5)кв.м.</t>
  </si>
  <si>
    <t>1,49руб./кв.м.*(2786,4+427,5)кв.м.</t>
  </si>
  <si>
    <t>1,49руб./кв.м*(1280+0)кв.м.</t>
  </si>
  <si>
    <t>1,49руб./кв.м*(2525,4+0)кв.м.</t>
  </si>
  <si>
    <t>1,49руб./кв.м*(11099,6+1867,9)кв.м.</t>
  </si>
  <si>
    <t>1,49руб./кв.м*(4937,5+742,1)кв.м.</t>
  </si>
  <si>
    <t>1,49руб./кв.м*(3245,2+391)кв.м.</t>
  </si>
  <si>
    <t>1,49руб./кв.м*(3240,3+0)кв.м.</t>
  </si>
  <si>
    <t>1,49руб./кв.м*(3002,3+61,3)кв.м.</t>
  </si>
  <si>
    <t>1,49руб./кв.м*(2583,2+408,3)кв.м.</t>
  </si>
  <si>
    <t>1,49руб./кв.м*(2597+0)кв.м.</t>
  </si>
  <si>
    <t>1,49руб./кв.м*(2563,2+0)кв.м.</t>
  </si>
  <si>
    <t>1,49руб./кв.м*(3186,6+0)кв.м.</t>
  </si>
  <si>
    <t>1,49руб./кв.м*(2574,2+0)кв.м.</t>
  </si>
  <si>
    <t>1,49руб./кв.м*(2567,7+0)кв.м.</t>
  </si>
  <si>
    <t>1,49руб./кв.м*(3185,9+0)кв.м.</t>
  </si>
  <si>
    <t>1,49руб./кв.м*(3177,40+32)кв.м.</t>
  </si>
  <si>
    <t>1,49руб./кв.м*(3138,4+118,6)кв.м.</t>
  </si>
  <si>
    <t>1,49руб./кв.м*(2576,7+73,4)кв.м.</t>
  </si>
  <si>
    <t>1,49руб./кв.м*(2967,6+365,20)кв.м.</t>
  </si>
  <si>
    <t>1,49руб./кв.м*(2421,40кв.м.+200,8кв.м.)</t>
  </si>
  <si>
    <t>1,49руб./кв.м*(2561,4+396,8)кв.м.</t>
  </si>
  <si>
    <t>1,49руб./кв.м*(2015,4+0)кв.м.</t>
  </si>
  <si>
    <t>1,49руб./кв.м*(1529+513)кв.м.</t>
  </si>
  <si>
    <t>1,49руб./кв.м*(2556,9+0)кв.м.</t>
  </si>
  <si>
    <t>1,49руб./кв.м*(366,3+0)кв.м.</t>
  </si>
  <si>
    <t>1,49руб./кв.м*(3530,4+537,2)кв.м.</t>
  </si>
  <si>
    <t>1,49руб./кв.м*(423,8+0)кв.м.</t>
  </si>
  <si>
    <t>1,49руб./кв.м*(414,9+0)кв.м.</t>
  </si>
  <si>
    <t>1,49руб./кв.м*(388,3+15)кв.м.</t>
  </si>
  <si>
    <t>1,49руб./кв.м*(1469,8+102,3)кв.м.</t>
  </si>
  <si>
    <t>1,49руб./кв.м*(1227,7+42,3)кв.м.</t>
  </si>
  <si>
    <t>315,17руб./мес.*12мес.</t>
  </si>
  <si>
    <t>388,36руб./мес.*12мес.</t>
  </si>
  <si>
    <t>154,93руб./мес.*12мес.</t>
  </si>
  <si>
    <t>305,62руб./мес.*12мес.</t>
  </si>
  <si>
    <t>353,51руб./мес.*12мес.</t>
  </si>
  <si>
    <t>315,30руб./мес.*12мес.</t>
  </si>
  <si>
    <t xml:space="preserve">((0,59чел.*(3565руб.+200руб.)*1,5*1,15*1,083*1,302*3мес.)+(3708руб.+200руб.)*1,5*1,15*1,083*1,302*9мес.))+0,100руб./кв.м.асф.покр.*1403,6кв.м.)*12 мес. </t>
  </si>
  <si>
    <t>426,80руб./мес.*12мес.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</si>
</sst>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_-* #,##0_р_._-;\-* #,##0_р_._-;_-* \-_р_._-;_-@_-"/>
    <numFmt numFmtId="167" formatCode="#,##0.00_р_.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3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0" fontId="13" fillId="0" borderId="0"/>
    <xf numFmtId="0" fontId="18" fillId="0" borderId="0"/>
    <xf numFmtId="0" fontId="19" fillId="0" borderId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0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/>
    <xf numFmtId="9" fontId="6" fillId="0" borderId="0" applyFill="0" applyBorder="0" applyAlignment="0" applyProtection="0"/>
    <xf numFmtId="0" fontId="6" fillId="0" borderId="0"/>
    <xf numFmtId="0" fontId="23" fillId="0" borderId="0"/>
    <xf numFmtId="0" fontId="23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ill="0" applyBorder="0" applyAlignment="0" applyProtection="0"/>
    <xf numFmtId="166" fontId="6" fillId="0" borderId="0" applyFill="0" applyBorder="0" applyAlignment="0" applyProtection="0"/>
    <xf numFmtId="0" fontId="23" fillId="0" borderId="0"/>
    <xf numFmtId="0" fontId="6" fillId="0" borderId="0"/>
    <xf numFmtId="166" fontId="6" fillId="0" borderId="0" applyFill="0" applyBorder="0" applyAlignment="0" applyProtection="0"/>
    <xf numFmtId="165" fontId="6" fillId="0" borderId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18" fillId="0" borderId="0"/>
    <xf numFmtId="0" fontId="6" fillId="0" borderId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0" fillId="0" borderId="0" applyFont="0" applyFill="0" applyBorder="0" applyAlignment="0" applyProtection="0"/>
    <xf numFmtId="166" fontId="6" fillId="0" borderId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18" fillId="0" borderId="0"/>
    <xf numFmtId="0" fontId="18" fillId="0" borderId="0"/>
    <xf numFmtId="9" fontId="13" fillId="0" borderId="0" applyFont="0" applyFill="0" applyBorder="0" applyAlignment="0" applyProtection="0"/>
    <xf numFmtId="0" fontId="13" fillId="0" borderId="0"/>
    <xf numFmtId="0" fontId="6" fillId="0" borderId="0"/>
    <xf numFmtId="9" fontId="20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3" fillId="0" borderId="0"/>
    <xf numFmtId="4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9" fontId="20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6" fillId="0" borderId="0"/>
    <xf numFmtId="0" fontId="13" fillId="0" borderId="0"/>
    <xf numFmtId="4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9" fontId="20" fillId="0" borderId="0" applyFont="0" applyFill="0" applyBorder="0" applyAlignment="0" applyProtection="0"/>
    <xf numFmtId="166" fontId="6" fillId="0" borderId="0" applyFill="0" applyBorder="0" applyAlignment="0" applyProtection="0"/>
    <xf numFmtId="0" fontId="23" fillId="0" borderId="0"/>
    <xf numFmtId="9" fontId="13" fillId="0" borderId="0" applyFont="0" applyFill="0" applyBorder="0" applyAlignment="0" applyProtection="0"/>
    <xf numFmtId="0" fontId="13" fillId="0" borderId="0"/>
    <xf numFmtId="0" fontId="18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41" fontId="20" fillId="0" borderId="0" applyFont="0" applyFill="0" applyBorder="0" applyAlignment="0" applyProtection="0"/>
    <xf numFmtId="0" fontId="18" fillId="0" borderId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3" fillId="0" borderId="0"/>
    <xf numFmtId="0" fontId="6" fillId="0" borderId="0"/>
    <xf numFmtId="166" fontId="6" fillId="0" borderId="0" applyFill="0" applyBorder="0" applyAlignment="0" applyProtection="0"/>
    <xf numFmtId="41" fontId="13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9" fontId="6" fillId="0" borderId="0" applyFill="0" applyBorder="0" applyAlignment="0" applyProtection="0"/>
    <xf numFmtId="9" fontId="20" fillId="0" borderId="0" applyFont="0" applyFill="0" applyBorder="0" applyAlignment="0" applyProtection="0"/>
    <xf numFmtId="166" fontId="6" fillId="0" borderId="0" applyFill="0" applyBorder="0" applyAlignment="0" applyProtection="0"/>
    <xf numFmtId="9" fontId="6" fillId="0" borderId="0" applyFill="0" applyBorder="0" applyAlignment="0" applyProtection="0"/>
    <xf numFmtId="41" fontId="13" fillId="0" borderId="0" applyFont="0" applyFill="0" applyBorder="0" applyAlignment="0" applyProtection="0"/>
    <xf numFmtId="0" fontId="6" fillId="0" borderId="0"/>
    <xf numFmtId="41" fontId="20" fillId="0" borderId="0" applyFont="0" applyFill="0" applyBorder="0" applyAlignment="0" applyProtection="0"/>
    <xf numFmtId="0" fontId="13" fillId="0" borderId="0"/>
    <xf numFmtId="0" fontId="6" fillId="0" borderId="0"/>
    <xf numFmtId="9" fontId="6" fillId="0" borderId="0" applyFill="0" applyBorder="0" applyAlignment="0" applyProtection="0"/>
    <xf numFmtId="0" fontId="18" fillId="0" borderId="0"/>
    <xf numFmtId="0" fontId="13" fillId="0" borderId="0"/>
    <xf numFmtId="9" fontId="6" fillId="0" borderId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65" fontId="6" fillId="0" borderId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ill="0" applyBorder="0" applyAlignment="0" applyProtection="0"/>
    <xf numFmtId="0" fontId="6" fillId="0" borderId="0"/>
    <xf numFmtId="0" fontId="13" fillId="0" borderId="0"/>
    <xf numFmtId="165" fontId="6" fillId="0" borderId="0" applyFill="0" applyBorder="0" applyAlignment="0" applyProtection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43" fontId="13" fillId="0" borderId="0" applyFont="0" applyFill="0" applyBorder="0" applyAlignment="0" applyProtection="0"/>
    <xf numFmtId="165" fontId="6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165" fontId="6" fillId="0" borderId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165" fontId="6" fillId="0" borderId="0" applyFill="0" applyBorder="0" applyAlignment="0" applyProtection="0"/>
    <xf numFmtId="0" fontId="6" fillId="0" borderId="0"/>
    <xf numFmtId="0" fontId="13" fillId="0" borderId="0"/>
    <xf numFmtId="0" fontId="1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3" fillId="0" borderId="0"/>
    <xf numFmtId="165" fontId="6" fillId="0" borderId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13" fillId="0" borderId="0"/>
    <xf numFmtId="0" fontId="6" fillId="0" borderId="0"/>
    <xf numFmtId="0" fontId="13" fillId="0" borderId="0"/>
    <xf numFmtId="165" fontId="6" fillId="0" borderId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5" fontId="6" fillId="0" borderId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6" fillId="0" borderId="0"/>
    <xf numFmtId="0" fontId="13" fillId="0" borderId="0"/>
    <xf numFmtId="165" fontId="6" fillId="0" borderId="0" applyFill="0" applyBorder="0" applyAlignment="0" applyProtection="0"/>
    <xf numFmtId="0" fontId="13" fillId="0" borderId="0"/>
    <xf numFmtId="165" fontId="6" fillId="0" borderId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13" fillId="0" borderId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165" fontId="6" fillId="0" borderId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165" fontId="6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6" fillId="0" borderId="0"/>
    <xf numFmtId="43" fontId="13" fillId="0" borderId="0" applyFont="0" applyFill="0" applyBorder="0" applyAlignment="0" applyProtection="0"/>
    <xf numFmtId="0" fontId="6" fillId="0" borderId="0"/>
    <xf numFmtId="0" fontId="13" fillId="0" borderId="0"/>
    <xf numFmtId="165" fontId="6" fillId="0" borderId="0" applyFill="0" applyBorder="0" applyAlignment="0" applyProtection="0"/>
    <xf numFmtId="0" fontId="6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165" fontId="6" fillId="0" borderId="0" applyFill="0" applyBorder="0" applyAlignment="0" applyProtection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3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1" fillId="0" borderId="0"/>
    <xf numFmtId="0" fontId="1" fillId="0" borderId="0"/>
    <xf numFmtId="0" fontId="6" fillId="0" borderId="0"/>
    <xf numFmtId="165" fontId="6" fillId="0" borderId="0" applyFill="0" applyBorder="0" applyAlignment="0" applyProtection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1" fillId="0" borderId="0"/>
    <xf numFmtId="0" fontId="6" fillId="0" borderId="0"/>
    <xf numFmtId="165" fontId="6" fillId="0" borderId="0" applyFill="0" applyBorder="0" applyAlignment="0" applyProtection="0"/>
    <xf numFmtId="0" fontId="1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1" fillId="0" borderId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0" fontId="13" fillId="0" borderId="0"/>
    <xf numFmtId="0" fontId="6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3" fillId="0" borderId="0"/>
  </cellStyleXfs>
  <cellXfs count="349">
    <xf numFmtId="0" fontId="0" fillId="0" borderId="0" xfId="0"/>
    <xf numFmtId="2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/>
    <xf numFmtId="0" fontId="12" fillId="0" borderId="0" xfId="0" applyFont="1"/>
    <xf numFmtId="0" fontId="14" fillId="0" borderId="0" xfId="0" applyFont="1" applyFill="1"/>
    <xf numFmtId="0" fontId="24" fillId="0" borderId="0" xfId="18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0" xfId="18" applyFont="1" applyBorder="1" applyAlignment="1">
      <alignment horizontal="center" vertical="center"/>
    </xf>
    <xf numFmtId="167" fontId="24" fillId="0" borderId="0" xfId="18" applyNumberFormat="1" applyFont="1" applyBorder="1" applyAlignment="1">
      <alignment horizontal="center" vertical="center" wrapText="1"/>
    </xf>
    <xf numFmtId="0" fontId="15" fillId="0" borderId="0" xfId="18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4" fontId="5" fillId="2" borderId="6" xfId="2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4" fontId="5" fillId="2" borderId="4" xfId="2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7" fillId="0" borderId="3" xfId="100" applyFont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14" fillId="0" borderId="0" xfId="0" applyFont="1"/>
    <xf numFmtId="167" fontId="24" fillId="0" borderId="3" xfId="18" applyNumberFormat="1" applyFont="1" applyBorder="1" applyAlignment="1">
      <alignment horizontal="center" vertical="center" wrapText="1"/>
    </xf>
    <xf numFmtId="0" fontId="24" fillId="0" borderId="3" xfId="18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3" xfId="0" applyFont="1" applyBorder="1"/>
    <xf numFmtId="0" fontId="4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5" fillId="0" borderId="3" xfId="18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6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7" fillId="0" borderId="0" xfId="0" applyFont="1" applyFill="1"/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/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7" fillId="4" borderId="1" xfId="392" applyFont="1" applyFill="1" applyBorder="1"/>
    <xf numFmtId="0" fontId="5" fillId="0" borderId="0" xfId="119" applyFont="1"/>
    <xf numFmtId="0" fontId="7" fillId="4" borderId="6" xfId="392" applyFont="1" applyFill="1" applyBorder="1"/>
    <xf numFmtId="2" fontId="7" fillId="4" borderId="1" xfId="392" applyNumberFormat="1" applyFont="1" applyFill="1" applyBorder="1"/>
    <xf numFmtId="0" fontId="7" fillId="4" borderId="2" xfId="392" applyFont="1" applyFill="1" applyBorder="1"/>
    <xf numFmtId="0" fontId="7" fillId="4" borderId="12" xfId="392" applyFont="1" applyFill="1" applyBorder="1"/>
    <xf numFmtId="2" fontId="0" fillId="4" borderId="3" xfId="0" applyNumberFormat="1" applyFill="1" applyBorder="1"/>
    <xf numFmtId="2" fontId="5" fillId="0" borderId="0" xfId="119" applyNumberFormat="1" applyFont="1"/>
    <xf numFmtId="0" fontId="5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vertical="center" wrapText="1"/>
    </xf>
    <xf numFmtId="0" fontId="24" fillId="0" borderId="3" xfId="18" applyFont="1" applyFill="1" applyBorder="1" applyAlignment="1">
      <alignment horizontal="left" vertical="center" wrapText="1"/>
    </xf>
    <xf numFmtId="0" fontId="5" fillId="0" borderId="3" xfId="18" applyFont="1" applyFill="1" applyBorder="1" applyAlignment="1">
      <alignment horizontal="center" vertical="center" wrapText="1"/>
    </xf>
    <xf numFmtId="0" fontId="24" fillId="0" borderId="0" xfId="18" applyFont="1" applyFill="1" applyBorder="1" applyAlignment="1">
      <alignment horizontal="left" vertical="center" wrapText="1"/>
    </xf>
    <xf numFmtId="0" fontId="5" fillId="0" borderId="0" xfId="18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5" fillId="0" borderId="5" xfId="2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7" fillId="0" borderId="3" xfId="100" applyFont="1" applyFill="1" applyBorder="1" applyAlignment="1">
      <alignment horizontal="left" vertical="center" wrapText="1"/>
    </xf>
    <xf numFmtId="2" fontId="14" fillId="0" borderId="0" xfId="0" applyNumberFormat="1" applyFont="1"/>
    <xf numFmtId="0" fontId="2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left" vertical="center" wrapText="1"/>
    </xf>
    <xf numFmtId="167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167" fontId="24" fillId="0" borderId="3" xfId="18" applyNumberFormat="1" applyFont="1" applyFill="1" applyBorder="1" applyAlignment="1">
      <alignment horizontal="center" vertical="center" wrapText="1"/>
    </xf>
    <xf numFmtId="0" fontId="15" fillId="0" borderId="3" xfId="18" applyFont="1" applyFill="1" applyBorder="1" applyAlignment="1">
      <alignment horizontal="center" vertical="center" wrapText="1"/>
    </xf>
    <xf numFmtId="167" fontId="24" fillId="0" borderId="0" xfId="18" applyNumberFormat="1" applyFont="1" applyFill="1" applyBorder="1" applyAlignment="1">
      <alignment horizontal="center" vertical="center" wrapText="1"/>
    </xf>
    <xf numFmtId="0" fontId="15" fillId="0" borderId="0" xfId="18" applyFont="1" applyFill="1" applyBorder="1" applyAlignment="1">
      <alignment horizontal="center" vertical="center" wrapText="1"/>
    </xf>
    <xf numFmtId="167" fontId="15" fillId="0" borderId="0" xfId="0" applyNumberFormat="1" applyFont="1" applyFill="1"/>
    <xf numFmtId="0" fontId="15" fillId="0" borderId="0" xfId="0" applyFont="1" applyFill="1"/>
    <xf numFmtId="167" fontId="25" fillId="0" borderId="0" xfId="0" applyNumberFormat="1" applyFont="1" applyFill="1"/>
    <xf numFmtId="0" fontId="25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/>
    </xf>
    <xf numFmtId="0" fontId="5" fillId="0" borderId="0" xfId="18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4" fontId="5" fillId="0" borderId="3" xfId="119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 applyProtection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" fontId="14" fillId="0" borderId="0" xfId="0" applyNumberFormat="1" applyFont="1"/>
    <xf numFmtId="0" fontId="7" fillId="0" borderId="3" xfId="0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0" fontId="5" fillId="0" borderId="3" xfId="18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2" fontId="27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7" xfId="1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27" fillId="0" borderId="3" xfId="18" applyFont="1" applyFill="1" applyBorder="1" applyAlignment="1">
      <alignment horizontal="left" vertical="center" wrapText="1"/>
    </xf>
    <xf numFmtId="167" fontId="27" fillId="0" borderId="3" xfId="18" applyNumberFormat="1" applyFont="1" applyFill="1" applyBorder="1" applyAlignment="1">
      <alignment horizontal="center" vertical="center" wrapText="1"/>
    </xf>
    <xf numFmtId="0" fontId="7" fillId="0" borderId="3" xfId="18" applyFont="1" applyFill="1" applyBorder="1" applyAlignment="1">
      <alignment horizontal="center" vertical="center" wrapText="1"/>
    </xf>
    <xf numFmtId="0" fontId="27" fillId="0" borderId="0" xfId="18" applyFont="1" applyFill="1" applyBorder="1" applyAlignment="1">
      <alignment horizontal="left" vertical="center" wrapText="1"/>
    </xf>
    <xf numFmtId="167" fontId="27" fillId="0" borderId="0" xfId="18" applyNumberFormat="1" applyFont="1" applyFill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6" borderId="1" xfId="392" applyFont="1" applyFill="1" applyBorder="1"/>
    <xf numFmtId="2" fontId="7" fillId="6" borderId="1" xfId="392" applyNumberFormat="1" applyFont="1" applyFill="1" applyBorder="1"/>
    <xf numFmtId="0" fontId="14" fillId="6" borderId="0" xfId="0" applyFont="1" applyFill="1" applyAlignment="1">
      <alignment wrapText="1"/>
    </xf>
    <xf numFmtId="4" fontId="5" fillId="6" borderId="16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 wrapText="1"/>
    </xf>
    <xf numFmtId="4" fontId="5" fillId="6" borderId="16" xfId="0" applyNumberFormat="1" applyFont="1" applyFill="1" applyBorder="1" applyAlignment="1">
      <alignment horizontal="center" vertical="center" wrapText="1"/>
    </xf>
    <xf numFmtId="167" fontId="5" fillId="6" borderId="16" xfId="0" applyNumberFormat="1" applyFont="1" applyFill="1" applyBorder="1" applyAlignment="1">
      <alignment horizontal="center" vertical="center" wrapText="1"/>
    </xf>
    <xf numFmtId="4" fontId="21" fillId="6" borderId="16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left" vertical="center" wrapText="1"/>
    </xf>
    <xf numFmtId="4" fontId="7" fillId="6" borderId="17" xfId="0" applyNumberFormat="1" applyFont="1" applyFill="1" applyBorder="1" applyAlignment="1">
      <alignment horizontal="center" vertical="center"/>
    </xf>
    <xf numFmtId="2" fontId="7" fillId="6" borderId="17" xfId="0" applyNumberFormat="1" applyFont="1" applyFill="1" applyBorder="1" applyAlignment="1">
      <alignment horizontal="left" vertical="center" wrapText="1"/>
    </xf>
    <xf numFmtId="4" fontId="7" fillId="6" borderId="18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left" vertical="center" wrapText="1"/>
    </xf>
    <xf numFmtId="4" fontId="5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left" vertical="center" wrapText="1"/>
    </xf>
    <xf numFmtId="167" fontId="5" fillId="6" borderId="18" xfId="0" applyNumberFormat="1" applyFont="1" applyFill="1" applyBorder="1" applyAlignment="1">
      <alignment horizontal="center" vertical="center" wrapText="1"/>
    </xf>
    <xf numFmtId="4" fontId="5" fillId="6" borderId="18" xfId="0" applyNumberFormat="1" applyFont="1" applyFill="1" applyBorder="1" applyAlignment="1">
      <alignment horizontal="center" vertical="center"/>
    </xf>
    <xf numFmtId="167" fontId="7" fillId="6" borderId="18" xfId="0" applyNumberFormat="1" applyFont="1" applyFill="1" applyBorder="1" applyAlignment="1">
      <alignment horizontal="center" vertical="center" wrapText="1"/>
    </xf>
    <xf numFmtId="2" fontId="7" fillId="6" borderId="18" xfId="0" applyNumberFormat="1" applyFont="1" applyFill="1" applyBorder="1" applyAlignment="1">
      <alignment horizontal="left" vertical="center" wrapText="1"/>
    </xf>
    <xf numFmtId="4" fontId="7" fillId="6" borderId="18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7" fillId="6" borderId="18" xfId="0" applyNumberFormat="1" applyFont="1" applyFill="1" applyBorder="1" applyAlignment="1">
      <alignment horizontal="left" vertical="center" wrapText="1"/>
    </xf>
    <xf numFmtId="167" fontId="7" fillId="6" borderId="3" xfId="0" applyNumberFormat="1" applyFont="1" applyFill="1" applyBorder="1" applyAlignment="1">
      <alignment horizontal="center" vertical="center" wrapText="1"/>
    </xf>
    <xf numFmtId="167" fontId="7" fillId="6" borderId="3" xfId="0" applyNumberFormat="1" applyFont="1" applyFill="1" applyBorder="1" applyAlignment="1">
      <alignment horizontal="left" vertical="center" wrapText="1"/>
    </xf>
    <xf numFmtId="4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4" fontId="28" fillId="0" borderId="4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vertical="center" wrapText="1"/>
    </xf>
    <xf numFmtId="4" fontId="29" fillId="0" borderId="3" xfId="0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 wrapText="1"/>
    </xf>
    <xf numFmtId="4" fontId="28" fillId="6" borderId="16" xfId="0" applyNumberFormat="1" applyFont="1" applyFill="1" applyBorder="1" applyAlignment="1">
      <alignment horizontal="center" vertical="center" wrapText="1"/>
    </xf>
    <xf numFmtId="167" fontId="28" fillId="6" borderId="16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393">
    <cellStyle name="Excel Built-in Normal" xfId="392"/>
    <cellStyle name="Обычный" xfId="0" builtinId="0"/>
    <cellStyle name="Обычный 10" xfId="119"/>
    <cellStyle name="Обычный 11 2" xfId="236"/>
    <cellStyle name="Обычный 11 3" xfId="357"/>
    <cellStyle name="Обычный 12" xfId="125"/>
    <cellStyle name="Обычный 12 2" xfId="305"/>
    <cellStyle name="Обычный 12 2 2" xfId="322"/>
    <cellStyle name="Обычный 12 2 3" xfId="377"/>
    <cellStyle name="Обычный 12 2_Лист1" xfId="152"/>
    <cellStyle name="Обычный 12 3" xfId="371"/>
    <cellStyle name="Обычный 12_Лист1" xfId="170"/>
    <cellStyle name="Обычный 13" xfId="128"/>
    <cellStyle name="Обычный 13 2" xfId="238"/>
    <cellStyle name="Обычный 13 2 2" xfId="325"/>
    <cellStyle name="Обычный 13 2 3" xfId="380"/>
    <cellStyle name="Обычный 13 2_Лист1" xfId="165"/>
    <cellStyle name="Обычный 13 3" xfId="358"/>
    <cellStyle name="Обычный 13_Лист1" xfId="192"/>
    <cellStyle name="Обычный 14" xfId="131"/>
    <cellStyle name="Обычный 14 2" xfId="255"/>
    <cellStyle name="Обычный 14 2 2" xfId="328"/>
    <cellStyle name="Обычный 14 2 3" xfId="383"/>
    <cellStyle name="Обычный 14 2_Лист1" xfId="181"/>
    <cellStyle name="Обычный 14 3" xfId="364"/>
    <cellStyle name="Обычный 14_Лист1" xfId="198"/>
    <cellStyle name="Обычный 15" xfId="134"/>
    <cellStyle name="Обычный 15 2" xfId="270"/>
    <cellStyle name="Обычный 15 2 2" xfId="331"/>
    <cellStyle name="Обычный 15 2 3" xfId="386"/>
    <cellStyle name="Обычный 15 2_Лист1" xfId="175"/>
    <cellStyle name="Обычный 15 3" xfId="367"/>
    <cellStyle name="Обычный 15_Лист1" xfId="177"/>
    <cellStyle name="Обычный 16" xfId="137"/>
    <cellStyle name="Обычный 16 2" xfId="205"/>
    <cellStyle name="Обычный 16 2 2" xfId="334"/>
    <cellStyle name="Обычный 16 2 3" xfId="389"/>
    <cellStyle name="Обычный 16 2_Лист1" xfId="191"/>
    <cellStyle name="Обычный 16 3" xfId="348"/>
    <cellStyle name="Обычный 16_Лист1" xfId="169"/>
    <cellStyle name="Обычный 18" xfId="271"/>
    <cellStyle name="Обычный 19" xfId="268"/>
    <cellStyle name="Обычный 2" xfId="5"/>
    <cellStyle name="Обычный 2 10" xfId="127"/>
    <cellStyle name="Обычный 2 10 2" xfId="246"/>
    <cellStyle name="Обычный 2 10 2 2" xfId="324"/>
    <cellStyle name="Обычный 2 10 2 3" xfId="379"/>
    <cellStyle name="Обычный 2 10 2_Лист1" xfId="185"/>
    <cellStyle name="Обычный 2 10 3" xfId="359"/>
    <cellStyle name="Обычный 2 10_Лист1" xfId="188"/>
    <cellStyle name="Обычный 2 11" xfId="130"/>
    <cellStyle name="Обычный 2 11 2" xfId="259"/>
    <cellStyle name="Обычный 2 11 2 2" xfId="327"/>
    <cellStyle name="Обычный 2 11 2 3" xfId="382"/>
    <cellStyle name="Обычный 2 11 2_Лист1" xfId="158"/>
    <cellStyle name="Обычный 2 11 3" xfId="365"/>
    <cellStyle name="Обычный 2 11_Лист1" xfId="164"/>
    <cellStyle name="Обычный 2 12" xfId="133"/>
    <cellStyle name="Обычный 2 12 2" xfId="249"/>
    <cellStyle name="Обычный 2 12 2 2" xfId="330"/>
    <cellStyle name="Обычный 2 12 2 3" xfId="385"/>
    <cellStyle name="Обычный 2 12 2_Лист1" xfId="145"/>
    <cellStyle name="Обычный 2 12 3" xfId="361"/>
    <cellStyle name="Обычный 2 12_Лист1" xfId="146"/>
    <cellStyle name="Обычный 2 13" xfId="136"/>
    <cellStyle name="Обычный 2 13 2" xfId="277"/>
    <cellStyle name="Обычный 2 13 2 2" xfId="333"/>
    <cellStyle name="Обычный 2 13 2 3" xfId="388"/>
    <cellStyle name="Обычный 2 13 2_Лист1" xfId="195"/>
    <cellStyle name="Обычный 2 13 3" xfId="369"/>
    <cellStyle name="Обычный 2 13_Лист1" xfId="194"/>
    <cellStyle name="Обычный 2 14" xfId="140"/>
    <cellStyle name="Обычный 2 14 2" xfId="272"/>
    <cellStyle name="Обычный 2 14 3" xfId="368"/>
    <cellStyle name="Обычный 2 14_Лист1" xfId="178"/>
    <cellStyle name="Обычный 2 15" xfId="282"/>
    <cellStyle name="Обычный 2 16" xfId="273"/>
    <cellStyle name="Обычный 2 17" xfId="261"/>
    <cellStyle name="Обычный 2 18" xfId="245"/>
    <cellStyle name="Обычный 2 19" xfId="300"/>
    <cellStyle name="Обычный 2 2" xfId="3"/>
    <cellStyle name="Обычный 2 2 2" xfId="20"/>
    <cellStyle name="Обычный 2 2 2 2" xfId="33"/>
    <cellStyle name="Обычный 2 2 2 3" xfId="84"/>
    <cellStyle name="Обычный 2 2 2 4" xfId="32"/>
    <cellStyle name="Обычный 2 2 2 5" xfId="112"/>
    <cellStyle name="Обычный 2 2 2 6" xfId="116"/>
    <cellStyle name="Обычный 2 2 3" xfId="46"/>
    <cellStyle name="Обычный 2 2 4" xfId="56"/>
    <cellStyle name="Обычный 2 2 5" xfId="68"/>
    <cellStyle name="Обычный 2 2 6" xfId="29"/>
    <cellStyle name="Обычный 2 2 7" xfId="91"/>
    <cellStyle name="Обычный 2 2 8" xfId="110"/>
    <cellStyle name="Обычный 2 2 9" xfId="113"/>
    <cellStyle name="Обычный 2 20" xfId="306"/>
    <cellStyle name="Обычный 2 21" xfId="337"/>
    <cellStyle name="Обычный 2 3" xfId="6"/>
    <cellStyle name="Обычный 2 3 10" xfId="264"/>
    <cellStyle name="Обычный 2 3 11" xfId="274"/>
    <cellStyle name="Обычный 2 3 12" xfId="242"/>
    <cellStyle name="Обычный 2 3 13" xfId="291"/>
    <cellStyle name="Обычный 2 3 14" xfId="296"/>
    <cellStyle name="Обычный 2 3 15" xfId="299"/>
    <cellStyle name="Обычный 2 3 16" xfId="302"/>
    <cellStyle name="Обычный 2 3 17" xfId="280"/>
    <cellStyle name="Обычный 2 3 18" xfId="304"/>
    <cellStyle name="Обычный 2 3 19" xfId="309"/>
    <cellStyle name="Обычный 2 3 2" xfId="34"/>
    <cellStyle name="Обычный 2 3 2 10" xfId="247"/>
    <cellStyle name="Обычный 2 3 2 11" xfId="226"/>
    <cellStyle name="Обычный 2 3 2 12" xfId="275"/>
    <cellStyle name="Обычный 2 3 2 13" xfId="218"/>
    <cellStyle name="Обычный 2 3 2 14" xfId="276"/>
    <cellStyle name="Обычный 2 3 2 15" xfId="294"/>
    <cellStyle name="Обычный 2 3 2 16" xfId="298"/>
    <cellStyle name="Обычный 2 3 2 17" xfId="290"/>
    <cellStyle name="Обычный 2 3 2 18" xfId="289"/>
    <cellStyle name="Обычный 2 3 2 19" xfId="311"/>
    <cellStyle name="Обычный 2 3 2 2" xfId="35"/>
    <cellStyle name="Обычный 2 3 2 2 10" xfId="269"/>
    <cellStyle name="Обычный 2 3 2 2 11" xfId="239"/>
    <cellStyle name="Обычный 2 3 2 2 12" xfId="293"/>
    <cellStyle name="Обычный 2 3 2 2 13" xfId="297"/>
    <cellStyle name="Обычный 2 3 2 2 14" xfId="250"/>
    <cellStyle name="Обычный 2 3 2 2 15" xfId="224"/>
    <cellStyle name="Обычный 2 3 2 2 16" xfId="312"/>
    <cellStyle name="Обычный 2 3 2 2 17" xfId="344"/>
    <cellStyle name="Обычный 2 3 2 2 2" xfId="160"/>
    <cellStyle name="Обычный 2 3 2 2 2 2" xfId="161"/>
    <cellStyle name="Обычный 2 3 2 2 2 3" xfId="345"/>
    <cellStyle name="Обычный 2 3 2 2 2_Лист1" xfId="190"/>
    <cellStyle name="Обычный 2 3 2 2 3" xfId="222"/>
    <cellStyle name="Обычный 2 3 2 2 4" xfId="206"/>
    <cellStyle name="Обычный 2 3 2 2 5" xfId="244"/>
    <cellStyle name="Обычный 2 3 2 2 6" xfId="220"/>
    <cellStyle name="Обычный 2 3 2 2 7" xfId="237"/>
    <cellStyle name="Обычный 2 3 2 2 8" xfId="225"/>
    <cellStyle name="Обычный 2 3 2 2 9" xfId="207"/>
    <cellStyle name="Обычный 2 3 2 2_Лист1" xfId="168"/>
    <cellStyle name="Обычный 2 3 2 20" xfId="342"/>
    <cellStyle name="Обычный 2 3 2 3" xfId="48"/>
    <cellStyle name="Обычный 2 3 2 4" xfId="52"/>
    <cellStyle name="Обычный 2 3 2 5" xfId="64"/>
    <cellStyle name="Обычный 2 3 2 6" xfId="151"/>
    <cellStyle name="Обычный 2 3 2 6 2" xfId="221"/>
    <cellStyle name="Обычный 2 3 2 6 3" xfId="354"/>
    <cellStyle name="Обычный 2 3 2 6_Лист1" xfId="200"/>
    <cellStyle name="Обычный 2 3 2 7" xfId="243"/>
    <cellStyle name="Обычный 2 3 2 8" xfId="227"/>
    <cellStyle name="Обычный 2 3 2 9" xfId="228"/>
    <cellStyle name="Обычный 2 3 2_Лист1" xfId="174"/>
    <cellStyle name="Обычный 2 3 20" xfId="340"/>
    <cellStyle name="Обычный 2 3 3" xfId="47"/>
    <cellStyle name="Обычный 2 3 4" xfId="53"/>
    <cellStyle name="Обычный 2 3 5" xfId="67"/>
    <cellStyle name="Обычный 2 3 6" xfId="149"/>
    <cellStyle name="Обычный 2 3 6 2" xfId="211"/>
    <cellStyle name="Обычный 2 3 6 3" xfId="350"/>
    <cellStyle name="Обычный 2 3 6_Лист1" xfId="193"/>
    <cellStyle name="Обычный 2 3 7" xfId="235"/>
    <cellStyle name="Обычный 2 3 8" xfId="252"/>
    <cellStyle name="Обычный 2 3 9" xfId="265"/>
    <cellStyle name="Обычный 2 3_Лист1" xfId="176"/>
    <cellStyle name="Обычный 2 4" xfId="45"/>
    <cellStyle name="Обычный 2 5" xfId="57"/>
    <cellStyle name="Обычный 2 6" xfId="71"/>
    <cellStyle name="Обычный 2 7" xfId="121"/>
    <cellStyle name="Обычный 2 7 2" xfId="204"/>
    <cellStyle name="Обычный 2 7 2 2" xfId="318"/>
    <cellStyle name="Обычный 2 7 2 3" xfId="373"/>
    <cellStyle name="Обычный 2 7 2_Лист1" xfId="163"/>
    <cellStyle name="Обычный 2 7 3" xfId="347"/>
    <cellStyle name="Обычный 2 7_Лист1" xfId="184"/>
    <cellStyle name="Обычный 2 8" xfId="123"/>
    <cellStyle name="Обычный 2 8 2" xfId="216"/>
    <cellStyle name="Обычный 2 8 2 2" xfId="320"/>
    <cellStyle name="Обычный 2 8 2 3" xfId="375"/>
    <cellStyle name="Обычный 2 8 2_Лист1" xfId="144"/>
    <cellStyle name="Обычный 2 8 3" xfId="351"/>
    <cellStyle name="Обычный 2 8_Лист1" xfId="157"/>
    <cellStyle name="Обычный 2 9" xfId="124"/>
    <cellStyle name="Обычный 2 9 2" xfId="217"/>
    <cellStyle name="Обычный 2 9 2 2" xfId="321"/>
    <cellStyle name="Обычный 2 9 2 3" xfId="376"/>
    <cellStyle name="Обычный 2 9 2_Лист1" xfId="143"/>
    <cellStyle name="Обычный 2 9 3" xfId="352"/>
    <cellStyle name="Обычный 2 9_Лист1" xfId="179"/>
    <cellStyle name="Обычный 2_Лист1" xfId="201"/>
    <cellStyle name="Обычный 20" xfId="285"/>
    <cellStyle name="Обычный 21" xfId="283"/>
    <cellStyle name="Обычный 22" xfId="303"/>
    <cellStyle name="Обычный 3" xfId="7"/>
    <cellStyle name="Обычный 3 2" xfId="21"/>
    <cellStyle name="Обычный 3 2 2" xfId="36"/>
    <cellStyle name="Обычный 3 2 3" xfId="85"/>
    <cellStyle name="Обычный 3 2 4" xfId="95"/>
    <cellStyle name="Обычный 3 2 5" xfId="115"/>
    <cellStyle name="Обычный 3 2 6" xfId="118"/>
    <cellStyle name="Обычный 3 3" xfId="49"/>
    <cellStyle name="Обычный 3 4" xfId="50"/>
    <cellStyle name="Обычный 3 5" xfId="63"/>
    <cellStyle name="Обычный 3 6" xfId="28"/>
    <cellStyle name="Обычный 3 7" xfId="82"/>
    <cellStyle name="Обычный 3 8" xfId="99"/>
    <cellStyle name="Обычный 3 9" xfId="22"/>
    <cellStyle name="Обычный 4" xfId="8"/>
    <cellStyle name="Обычный 5" xfId="2"/>
    <cellStyle name="Обычный 5 10" xfId="287"/>
    <cellStyle name="Обычный 5 11" xfId="284"/>
    <cellStyle name="Обычный 5 12" xfId="213"/>
    <cellStyle name="Обычный 5 13" xfId="292"/>
    <cellStyle name="Обычный 5 14" xfId="286"/>
    <cellStyle name="Обычный 5 15" xfId="278"/>
    <cellStyle name="Обычный 5 16" xfId="308"/>
    <cellStyle name="Обычный 5 17" xfId="339"/>
    <cellStyle name="Обычный 5 2" xfId="37"/>
    <cellStyle name="Обычный 5 3" xfId="148"/>
    <cellStyle name="Обычный 5 3 2" xfId="210"/>
    <cellStyle name="Обычный 5 3 3" xfId="349"/>
    <cellStyle name="Обычный 5 3_Лист1" xfId="187"/>
    <cellStyle name="Обычный 5 4" xfId="215"/>
    <cellStyle name="Обычный 5 5" xfId="260"/>
    <cellStyle name="Обычный 5 6" xfId="233"/>
    <cellStyle name="Обычный 5 7" xfId="234"/>
    <cellStyle name="Обычный 5 8" xfId="262"/>
    <cellStyle name="Обычный 5 9" xfId="266"/>
    <cellStyle name="Обычный 5_Лист1" xfId="186"/>
    <cellStyle name="Обычный 6" xfId="18"/>
    <cellStyle name="Обычный 7" xfId="43"/>
    <cellStyle name="Обычный 8" xfId="100"/>
    <cellStyle name="Обычный 9" xfId="120"/>
    <cellStyle name="Обычный 9 2" xfId="203"/>
    <cellStyle name="Обычный 9 2 2" xfId="317"/>
    <cellStyle name="Обычный 9 2 3" xfId="372"/>
    <cellStyle name="Обычный 9 2_Лист1" xfId="153"/>
    <cellStyle name="Обычный 9 3" xfId="346"/>
    <cellStyle name="Обычный 9_Лист1" xfId="199"/>
    <cellStyle name="Процентный 2" xfId="9"/>
    <cellStyle name="Процентный 2 10" xfId="117"/>
    <cellStyle name="Процентный 2 2" xfId="10"/>
    <cellStyle name="Процентный 2 3" xfId="23"/>
    <cellStyle name="Процентный 2 3 2" xfId="38"/>
    <cellStyle name="Процентный 2 3 3" xfId="87"/>
    <cellStyle name="Процентный 2 3 4" xfId="86"/>
    <cellStyle name="Процентный 2 3 5" xfId="83"/>
    <cellStyle name="Процентный 2 3 6" xfId="96"/>
    <cellStyle name="Процентный 2 4" xfId="51"/>
    <cellStyle name="Процентный 2 5" xfId="62"/>
    <cellStyle name="Процентный 2 6" xfId="60"/>
    <cellStyle name="Процентный 2 7" xfId="24"/>
    <cellStyle name="Процентный 2 8" xfId="105"/>
    <cellStyle name="Процентный 2 9" xfId="114"/>
    <cellStyle name="Процентный 3" xfId="11"/>
    <cellStyle name="Процентный 4" xfId="12"/>
    <cellStyle name="Процентный 4 2" xfId="26"/>
    <cellStyle name="Процентный 4 2 2" xfId="39"/>
    <cellStyle name="Процентный 4 2 3" xfId="88"/>
    <cellStyle name="Процентный 4 2 4" xfId="25"/>
    <cellStyle name="Процентный 4 2 5" xfId="80"/>
    <cellStyle name="Процентный 4 2 6" xfId="106"/>
    <cellStyle name="Процентный 4 3" xfId="54"/>
    <cellStyle name="Процентный 4 4" xfId="65"/>
    <cellStyle name="Процентный 4 5" xfId="73"/>
    <cellStyle name="Процентный 4 6" xfId="19"/>
    <cellStyle name="Процентный 4 7" xfId="108"/>
    <cellStyle name="Процентный 4 8" xfId="93"/>
    <cellStyle name="Процентный 4 9" xfId="92"/>
    <cellStyle name="Финансовый" xfId="1" builtinId="3"/>
    <cellStyle name="Финансовый [0] 2" xfId="13"/>
    <cellStyle name="Финансовый [0] 2 10" xfId="79"/>
    <cellStyle name="Финансовый [0] 2 2" xfId="14"/>
    <cellStyle name="Финансовый [0] 2 3" xfId="27"/>
    <cellStyle name="Финансовый [0] 2 3 2" xfId="40"/>
    <cellStyle name="Финансовый [0] 2 3 3" xfId="89"/>
    <cellStyle name="Финансовый [0] 2 3 4" xfId="102"/>
    <cellStyle name="Финансовый [0] 2 3 5" xfId="109"/>
    <cellStyle name="Финансовый [0] 2 3 6" xfId="97"/>
    <cellStyle name="Финансовый [0] 2 4" xfId="55"/>
    <cellStyle name="Финансовый [0] 2 5" xfId="66"/>
    <cellStyle name="Финансовый [0] 2 6" xfId="74"/>
    <cellStyle name="Финансовый [0] 2 7" xfId="78"/>
    <cellStyle name="Финансовый [0] 2 8" xfId="104"/>
    <cellStyle name="Финансовый [0] 2 9" xfId="103"/>
    <cellStyle name="Финансовый [0] 3" xfId="15"/>
    <cellStyle name="Финансовый [0] 4" xfId="16"/>
    <cellStyle name="Финансовый [0] 4 2" xfId="30"/>
    <cellStyle name="Финансовый [0] 4 2 2" xfId="41"/>
    <cellStyle name="Финансовый [0] 4 2 3" xfId="90"/>
    <cellStyle name="Финансовый [0] 4 2 4" xfId="94"/>
    <cellStyle name="Финансовый [0] 4 2 5" xfId="111"/>
    <cellStyle name="Финансовый [0] 4 2 6" xfId="98"/>
    <cellStyle name="Финансовый [0] 4 3" xfId="58"/>
    <cellStyle name="Финансовый [0] 4 4" xfId="69"/>
    <cellStyle name="Финансовый [0] 4 5" xfId="75"/>
    <cellStyle name="Финансовый [0] 4 6" xfId="81"/>
    <cellStyle name="Финансовый [0] 4 7" xfId="107"/>
    <cellStyle name="Финансовый [0] 4 8" xfId="42"/>
    <cellStyle name="Финансовый [0] 4 9" xfId="101"/>
    <cellStyle name="Финансовый 2" xfId="31"/>
    <cellStyle name="Финансовый 2 10" xfId="132"/>
    <cellStyle name="Финансовый 2 10 2" xfId="263"/>
    <cellStyle name="Финансовый 2 10 2 2" xfId="329"/>
    <cellStyle name="Финансовый 2 10 2 3" xfId="384"/>
    <cellStyle name="Финансовый 2 10 2_Лист1" xfId="197"/>
    <cellStyle name="Финансовый 2 10 3" xfId="366"/>
    <cellStyle name="Финансовый 2 10_Лист1" xfId="167"/>
    <cellStyle name="Финансовый 2 11" xfId="135"/>
    <cellStyle name="Финансовый 2 11 2" xfId="253"/>
    <cellStyle name="Финансовый 2 11 2 2" xfId="332"/>
    <cellStyle name="Финансовый 2 11 2 3" xfId="387"/>
    <cellStyle name="Финансовый 2 11 2_Лист1" xfId="155"/>
    <cellStyle name="Финансовый 2 11 3" xfId="363"/>
    <cellStyle name="Финансовый 2 11_Лист1" xfId="180"/>
    <cellStyle name="Финансовый 2 12" xfId="138"/>
    <cellStyle name="Финансовый 2 12 2" xfId="229"/>
    <cellStyle name="Финансовый 2 12 2 2" xfId="335"/>
    <cellStyle name="Финансовый 2 12 2 3" xfId="390"/>
    <cellStyle name="Финансовый 2 12 2_Лист1" xfId="162"/>
    <cellStyle name="Финансовый 2 12 3" xfId="356"/>
    <cellStyle name="Финансовый 2 12_Лист1" xfId="183"/>
    <cellStyle name="Финансовый 2 13" xfId="139"/>
    <cellStyle name="Финансовый 2 13 2" xfId="251"/>
    <cellStyle name="Финансовый 2 13 2 2" xfId="336"/>
    <cellStyle name="Финансовый 2 13 2 3" xfId="391"/>
    <cellStyle name="Финансовый 2 13 2_Лист1" xfId="142"/>
    <cellStyle name="Финансовый 2 13 3" xfId="362"/>
    <cellStyle name="Финансовый 2 13_Лист1" xfId="156"/>
    <cellStyle name="Финансовый 2 14" xfId="147"/>
    <cellStyle name="Финансовый 2 14 2" xfId="288"/>
    <cellStyle name="Финансовый 2 14 3" xfId="370"/>
    <cellStyle name="Финансовый 2 14_Лист1" xfId="141"/>
    <cellStyle name="Финансовый 2 15" xfId="240"/>
    <cellStyle name="Финансовый 2 16" xfId="258"/>
    <cellStyle name="Финансовый 2 17" xfId="295"/>
    <cellStyle name="Финансовый 2 18" xfId="301"/>
    <cellStyle name="Финансовый 2 19" xfId="232"/>
    <cellStyle name="Финансовый 2 2" xfId="4"/>
    <cellStyle name="Финансовый 2 2 10" xfId="212"/>
    <cellStyle name="Финансовый 2 2 11" xfId="267"/>
    <cellStyle name="Финансовый 2 2 12" xfId="214"/>
    <cellStyle name="Финансовый 2 2 13" xfId="241"/>
    <cellStyle name="Финансовый 2 2 14" xfId="279"/>
    <cellStyle name="Финансовый 2 2 15" xfId="281"/>
    <cellStyle name="Финансовый 2 2 16" xfId="307"/>
    <cellStyle name="Финансовый 2 2 17" xfId="343"/>
    <cellStyle name="Финансовый 2 2 2" xfId="159"/>
    <cellStyle name="Финансовый 2 2 2 2" xfId="150"/>
    <cellStyle name="Финансовый 2 2 2 3" xfId="341"/>
    <cellStyle name="Финансовый 2 2 2_Лист1" xfId="196"/>
    <cellStyle name="Финансовый 2 2 3" xfId="209"/>
    <cellStyle name="Финансовый 2 2 4" xfId="230"/>
    <cellStyle name="Финансовый 2 2 5" xfId="256"/>
    <cellStyle name="Финансовый 2 2 6" xfId="254"/>
    <cellStyle name="Финансовый 2 2 7" xfId="257"/>
    <cellStyle name="Финансовый 2 2 8" xfId="208"/>
    <cellStyle name="Финансовый 2 2 9" xfId="231"/>
    <cellStyle name="Финансовый 2 2_Лист1" xfId="202"/>
    <cellStyle name="Финансовый 2 20" xfId="310"/>
    <cellStyle name="Финансовый 2 21" xfId="338"/>
    <cellStyle name="Финансовый 2 3" xfId="17"/>
    <cellStyle name="Финансовый 2 4" xfId="59"/>
    <cellStyle name="Финансовый 2 5" xfId="70"/>
    <cellStyle name="Финансовый 2 6" xfId="76"/>
    <cellStyle name="Финансовый 2 7" xfId="122"/>
    <cellStyle name="Финансовый 2 7 2" xfId="219"/>
    <cellStyle name="Финансовый 2 7 2 2" xfId="319"/>
    <cellStyle name="Финансовый 2 7 2 3" xfId="374"/>
    <cellStyle name="Финансовый 2 7 2_Лист1" xfId="171"/>
    <cellStyle name="Финансовый 2 7 3" xfId="353"/>
    <cellStyle name="Финансовый 2 7_Лист1" xfId="154"/>
    <cellStyle name="Финансовый 2 8" xfId="126"/>
    <cellStyle name="Финансовый 2 8 2" xfId="223"/>
    <cellStyle name="Финансовый 2 8 2 2" xfId="323"/>
    <cellStyle name="Финансовый 2 8 2 3" xfId="378"/>
    <cellStyle name="Финансовый 2 8 2_Лист1" xfId="166"/>
    <cellStyle name="Финансовый 2 8 3" xfId="355"/>
    <cellStyle name="Финансовый 2 8_Лист1" xfId="172"/>
    <cellStyle name="Финансовый 2 9" xfId="129"/>
    <cellStyle name="Финансовый 2 9 2" xfId="248"/>
    <cellStyle name="Финансовый 2 9 2 2" xfId="326"/>
    <cellStyle name="Финансовый 2 9 2 3" xfId="381"/>
    <cellStyle name="Финансовый 2 9 2_Лист1" xfId="182"/>
    <cellStyle name="Финансовый 2 9 3" xfId="360"/>
    <cellStyle name="Финансовый 2 9_Лист1" xfId="189"/>
    <cellStyle name="Финансовый 2_Лист1" xfId="173"/>
    <cellStyle name="Финансовый 3 2" xfId="44"/>
    <cellStyle name="Финансовый 3 2 2" xfId="313"/>
    <cellStyle name="Финансовый 3 3" xfId="61"/>
    <cellStyle name="Финансовый 3 3 2" xfId="314"/>
    <cellStyle name="Финансовый 3 4" xfId="72"/>
    <cellStyle name="Финансовый 3 4 2" xfId="315"/>
    <cellStyle name="Финансовый 3 5" xfId="77"/>
    <cellStyle name="Финансовый 3 5 2" xfId="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K107"/>
  <sheetViews>
    <sheetView topLeftCell="A81" workbookViewId="0">
      <selection activeCell="E93" sqref="E93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5.5703125" style="9" customWidth="1"/>
    <col min="6" max="6" width="6" style="9" customWidth="1"/>
    <col min="7" max="7" width="10.28515625" style="9" customWidth="1"/>
    <col min="8" max="8" width="9.140625" style="62"/>
    <col min="9" max="9" width="16.28515625" style="62" customWidth="1"/>
    <col min="10" max="16384" width="9.140625" style="62"/>
  </cols>
  <sheetData>
    <row r="2" spans="2:11">
      <c r="E2" s="9" t="s">
        <v>324</v>
      </c>
    </row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12.03</v>
      </c>
      <c r="K5" s="148" t="s">
        <v>161</v>
      </c>
    </row>
    <row r="6" spans="2:11" ht="15.75">
      <c r="D6" s="176"/>
      <c r="I6" s="147" t="s">
        <v>162</v>
      </c>
      <c r="J6" s="147">
        <v>1087.8</v>
      </c>
      <c r="K6" s="148"/>
    </row>
    <row r="7" spans="2:11" ht="15.75">
      <c r="D7" s="176" t="s">
        <v>297</v>
      </c>
      <c r="I7" s="147" t="s">
        <v>163</v>
      </c>
      <c r="J7" s="147">
        <v>27</v>
      </c>
      <c r="K7" s="148"/>
    </row>
    <row r="8" spans="2:11" ht="15.75">
      <c r="D8" s="66"/>
      <c r="I8" s="147" t="s">
        <v>164</v>
      </c>
      <c r="J8" s="283">
        <v>63</v>
      </c>
      <c r="K8" s="148"/>
    </row>
    <row r="9" spans="2:11" ht="15.75">
      <c r="D9" s="66"/>
      <c r="I9" s="149" t="s">
        <v>165</v>
      </c>
      <c r="J9" s="147">
        <v>5042</v>
      </c>
      <c r="K9" s="148"/>
    </row>
    <row r="10" spans="2:11" ht="33" customHeight="1">
      <c r="B10" s="346" t="s">
        <v>299</v>
      </c>
      <c r="C10" s="346"/>
      <c r="D10" s="346"/>
      <c r="E10" s="346"/>
      <c r="I10" s="147" t="s">
        <v>166</v>
      </c>
      <c r="J10" s="147">
        <v>296.5</v>
      </c>
      <c r="K10" s="148"/>
    </row>
    <row r="11" spans="2:11" ht="15" customHeight="1">
      <c r="B11" s="347" t="s">
        <v>107</v>
      </c>
      <c r="C11" s="347"/>
      <c r="D11" s="347"/>
      <c r="E11" s="347"/>
      <c r="I11" s="147" t="s">
        <v>167</v>
      </c>
      <c r="J11" s="147">
        <v>569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1087.8</v>
      </c>
      <c r="D14" s="77" t="s">
        <v>61</v>
      </c>
      <c r="I14" s="147" t="s">
        <v>170</v>
      </c>
      <c r="J14" s="283">
        <v>597</v>
      </c>
      <c r="K14" s="148"/>
    </row>
    <row r="15" spans="2:11" s="6" customFormat="1" ht="15.75">
      <c r="B15" s="86" t="s">
        <v>3</v>
      </c>
      <c r="C15" s="87">
        <f>88.4+31.5+70+32+82+41.6</f>
        <v>345.5</v>
      </c>
      <c r="D15" s="88"/>
      <c r="E15" s="89"/>
      <c r="F15" s="89"/>
      <c r="G15" s="89"/>
      <c r="I15" s="147" t="s">
        <v>171</v>
      </c>
      <c r="J15" s="285">
        <v>742</v>
      </c>
      <c r="K15" s="148"/>
    </row>
    <row r="16" spans="2:11" s="6" customFormat="1" ht="15.75">
      <c r="B16" s="86"/>
      <c r="C16" s="87"/>
      <c r="D16" s="88"/>
      <c r="E16" s="89"/>
      <c r="F16" s="89"/>
      <c r="G16" s="89"/>
      <c r="I16" s="147" t="s">
        <v>172</v>
      </c>
      <c r="J16" s="147">
        <v>27</v>
      </c>
      <c r="K16" s="148"/>
    </row>
    <row r="17" spans="2:11" ht="31.5">
      <c r="B17" s="90" t="s">
        <v>4</v>
      </c>
      <c r="C17" s="91" t="s">
        <v>5</v>
      </c>
      <c r="D17" s="213" t="s">
        <v>6</v>
      </c>
      <c r="E17" s="197" t="s">
        <v>98</v>
      </c>
      <c r="I17" s="147" t="s">
        <v>173</v>
      </c>
      <c r="J17" s="284">
        <v>154.892858707671</v>
      </c>
      <c r="K17" s="148"/>
    </row>
    <row r="18" spans="2:11">
      <c r="B18" s="93" t="s">
        <v>7</v>
      </c>
      <c r="C18" s="198">
        <f>C14*12.03*12</f>
        <v>157034.80799999999</v>
      </c>
      <c r="D18" s="155" t="s">
        <v>300</v>
      </c>
      <c r="E18" s="199" t="s">
        <v>99</v>
      </c>
      <c r="G18" s="9">
        <v>149724.79200000002</v>
      </c>
      <c r="I18" s="147" t="s">
        <v>174</v>
      </c>
      <c r="J18" s="147">
        <v>5.39</v>
      </c>
      <c r="K18" s="148"/>
    </row>
    <row r="19" spans="2:11" ht="38.25">
      <c r="B19" s="94" t="s">
        <v>8</v>
      </c>
      <c r="C19" s="286">
        <f>63*(211.42*6*1.45/12+226.93*6*1.45/12)*1.18</f>
        <v>23625.530774999999</v>
      </c>
      <c r="D19" s="287" t="s">
        <v>301</v>
      </c>
      <c r="E19" s="200"/>
      <c r="G19" s="9">
        <v>20569.599224999994</v>
      </c>
      <c r="I19" s="147" t="s">
        <v>175</v>
      </c>
      <c r="J19" s="150">
        <v>0.28999999999999998</v>
      </c>
      <c r="K19" s="173">
        <f>(J15/3+J14)/2920</f>
        <v>0.28915525114155255</v>
      </c>
    </row>
    <row r="20" spans="2:11">
      <c r="B20" s="96" t="s">
        <v>9</v>
      </c>
      <c r="C20" s="95">
        <f>C21+C24+C27+C30+C33+C36</f>
        <v>81987.169883999988</v>
      </c>
      <c r="D20" s="97"/>
      <c r="E20" s="200"/>
      <c r="G20" s="9">
        <v>92569.959120000014</v>
      </c>
      <c r="I20" s="151" t="s">
        <v>176</v>
      </c>
      <c r="J20" s="151"/>
      <c r="K20" s="148"/>
    </row>
    <row r="21" spans="2:11">
      <c r="B21" s="78" t="s">
        <v>62</v>
      </c>
      <c r="C21" s="98">
        <f>C22+C23</f>
        <v>24891.418079999999</v>
      </c>
      <c r="D21" s="99"/>
      <c r="E21" s="200"/>
      <c r="G21" s="9">
        <v>23551.591200000003</v>
      </c>
      <c r="I21" s="152" t="s">
        <v>177</v>
      </c>
      <c r="J21" s="153"/>
      <c r="K21" s="148"/>
    </row>
    <row r="22" spans="2:11">
      <c r="B22" s="100" t="s">
        <v>63</v>
      </c>
      <c r="C22" s="178">
        <f>88.4*12.03*12</f>
        <v>12761.423999999999</v>
      </c>
      <c r="D22" s="181" t="s">
        <v>302</v>
      </c>
      <c r="E22" s="200" t="s">
        <v>99</v>
      </c>
      <c r="G22" s="9">
        <v>12167.376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288">
        <f>3.6*(232.8*1.18*6+243.11*1.18*6)</f>
        <v>12129.99408</v>
      </c>
      <c r="D23" s="289" t="s">
        <v>303</v>
      </c>
      <c r="E23" s="200" t="s">
        <v>99</v>
      </c>
      <c r="G23" s="9">
        <v>11384.215200000001</v>
      </c>
      <c r="I23" s="74" t="s">
        <v>179</v>
      </c>
      <c r="J23" s="74"/>
      <c r="K23" s="148"/>
    </row>
    <row r="24" spans="2:11">
      <c r="B24" s="78" t="s">
        <v>65</v>
      </c>
      <c r="C24" s="98">
        <f>C25+C26</f>
        <v>8186.338224000001</v>
      </c>
      <c r="D24" s="99"/>
      <c r="E24" s="200"/>
      <c r="G24" s="9">
        <v>7750.9245600000004</v>
      </c>
      <c r="I24" s="148" t="s">
        <v>180</v>
      </c>
      <c r="J24" s="148"/>
      <c r="K24" s="148"/>
    </row>
    <row r="25" spans="2:11">
      <c r="B25" s="100" t="s">
        <v>63</v>
      </c>
      <c r="C25" s="178">
        <f>31.5*12.03*12</f>
        <v>4547.34</v>
      </c>
      <c r="D25" s="181" t="s">
        <v>313</v>
      </c>
      <c r="E25" s="200" t="s">
        <v>99</v>
      </c>
      <c r="G25" s="9">
        <v>4335.66</v>
      </c>
      <c r="I25" s="74" t="s">
        <v>185</v>
      </c>
      <c r="J25" s="62">
        <v>296.5</v>
      </c>
    </row>
    <row r="26" spans="2:11" ht="25.5">
      <c r="B26" s="100" t="s">
        <v>64</v>
      </c>
      <c r="C26" s="288">
        <f>1.08*(232.8*1.18*6+243.11*1.18*6)</f>
        <v>3638.9982240000004</v>
      </c>
      <c r="D26" s="289" t="s">
        <v>314</v>
      </c>
      <c r="E26" s="200" t="s">
        <v>99</v>
      </c>
      <c r="G26" s="9">
        <v>3415.2645600000005</v>
      </c>
    </row>
    <row r="27" spans="2:11">
      <c r="B27" s="78" t="s">
        <v>306</v>
      </c>
      <c r="C27" s="98">
        <f>C28+C29</f>
        <v>10105.199999999999</v>
      </c>
      <c r="D27" s="99"/>
      <c r="E27" s="200"/>
      <c r="G27" s="9">
        <v>24513.591660000002</v>
      </c>
    </row>
    <row r="28" spans="2:11">
      <c r="B28" s="100" t="s">
        <v>63</v>
      </c>
      <c r="C28" s="178">
        <f>70*12.03*12</f>
        <v>10105.199999999999</v>
      </c>
      <c r="D28" s="181" t="s">
        <v>307</v>
      </c>
      <c r="E28" s="200" t="s">
        <v>99</v>
      </c>
      <c r="G28" s="9">
        <v>13034.508000000002</v>
      </c>
    </row>
    <row r="29" spans="2:11" ht="25.5">
      <c r="B29" s="100" t="s">
        <v>64</v>
      </c>
      <c r="C29" s="288">
        <f>0*(232.8*1.18*6+243.11*1.18*6)</f>
        <v>0</v>
      </c>
      <c r="D29" s="289" t="s">
        <v>308</v>
      </c>
      <c r="E29" s="200" t="s">
        <v>99</v>
      </c>
      <c r="G29" s="9">
        <v>11479.08366</v>
      </c>
    </row>
    <row r="30" spans="2:11">
      <c r="B30" s="78" t="s">
        <v>66</v>
      </c>
      <c r="C30" s="98">
        <f>C31+C32</f>
        <v>5596.6584119999998</v>
      </c>
      <c r="D30" s="99"/>
      <c r="E30" s="200"/>
      <c r="G30" s="9">
        <v>5321.5417800000005</v>
      </c>
    </row>
    <row r="31" spans="2:11">
      <c r="B31" s="100" t="s">
        <v>63</v>
      </c>
      <c r="C31" s="178">
        <f>32*12.03*12</f>
        <v>4619.5199999999995</v>
      </c>
      <c r="D31" s="181" t="s">
        <v>311</v>
      </c>
      <c r="E31" s="200" t="s">
        <v>99</v>
      </c>
      <c r="G31" s="9">
        <v>4404.4800000000005</v>
      </c>
    </row>
    <row r="32" spans="2:11" ht="25.5">
      <c r="B32" s="100" t="s">
        <v>64</v>
      </c>
      <c r="C32" s="288">
        <f>0.29*(232.8*1.18*6+243.11*1.18*6)</f>
        <v>977.13841200000002</v>
      </c>
      <c r="D32" s="289" t="s">
        <v>312</v>
      </c>
      <c r="E32" s="200" t="s">
        <v>99</v>
      </c>
      <c r="G32" s="9">
        <v>917.06178</v>
      </c>
    </row>
    <row r="33" spans="2:7">
      <c r="B33" s="78" t="s">
        <v>67</v>
      </c>
      <c r="C33" s="98">
        <f>C34+C35</f>
        <v>21979.542827999998</v>
      </c>
      <c r="D33" s="216"/>
      <c r="E33" s="108"/>
      <c r="G33" s="9">
        <v>20804.948820000001</v>
      </c>
    </row>
    <row r="34" spans="2:7">
      <c r="B34" s="100" t="s">
        <v>63</v>
      </c>
      <c r="C34" s="178">
        <f>82*12.03*12</f>
        <v>11837.519999999999</v>
      </c>
      <c r="D34" s="181" t="s">
        <v>309</v>
      </c>
      <c r="E34" s="200" t="s">
        <v>99</v>
      </c>
      <c r="G34" s="9">
        <v>11286.480000000001</v>
      </c>
    </row>
    <row r="35" spans="2:7" ht="25.5">
      <c r="B35" s="100" t="s">
        <v>64</v>
      </c>
      <c r="C35" s="288">
        <f>3.01*(232.8*1.18*6+243.11*1.18*6)</f>
        <v>10142.022827999999</v>
      </c>
      <c r="D35" s="289" t="s">
        <v>310</v>
      </c>
      <c r="E35" s="200" t="s">
        <v>99</v>
      </c>
      <c r="G35" s="9">
        <v>9518.4688200000001</v>
      </c>
    </row>
    <row r="36" spans="2:7">
      <c r="B36" s="78" t="s">
        <v>68</v>
      </c>
      <c r="C36" s="98">
        <f>C37+C38</f>
        <v>11228.012340000001</v>
      </c>
      <c r="D36" s="99"/>
      <c r="E36" s="200"/>
      <c r="G36" s="9">
        <v>10627.361100000002</v>
      </c>
    </row>
    <row r="37" spans="2:7">
      <c r="B37" s="100" t="s">
        <v>63</v>
      </c>
      <c r="C37" s="178">
        <f>41.6*12.03*12</f>
        <v>6005.3760000000002</v>
      </c>
      <c r="D37" s="181" t="s">
        <v>304</v>
      </c>
      <c r="E37" s="200" t="s">
        <v>99</v>
      </c>
      <c r="G37" s="9">
        <v>5725.8240000000005</v>
      </c>
    </row>
    <row r="38" spans="2:7" ht="25.5">
      <c r="B38" s="100" t="s">
        <v>64</v>
      </c>
      <c r="C38" s="288">
        <f>1.55*(232.8*1.18*6+243.11*1.18*6)</f>
        <v>5222.6363400000009</v>
      </c>
      <c r="D38" s="289" t="s">
        <v>305</v>
      </c>
      <c r="E38" s="200" t="s">
        <v>99</v>
      </c>
      <c r="G38" s="9">
        <v>4901.5371000000005</v>
      </c>
    </row>
    <row r="39" spans="2:7" ht="15.75">
      <c r="B39" s="103" t="s">
        <v>10</v>
      </c>
      <c r="C39" s="65">
        <f>C18+C20</f>
        <v>239021.97788399999</v>
      </c>
      <c r="D39" s="83"/>
      <c r="E39" s="200"/>
      <c r="G39" s="9">
        <v>242294.75112000003</v>
      </c>
    </row>
    <row r="40" spans="2:7">
      <c r="B40" s="104" t="s">
        <v>11</v>
      </c>
      <c r="C40" s="65">
        <f>C41+C42+C43+C44+C45+C46</f>
        <v>5039.76</v>
      </c>
      <c r="D40" s="83"/>
      <c r="E40" s="200"/>
      <c r="G40" s="9">
        <v>5039.76</v>
      </c>
    </row>
    <row r="41" spans="2:7">
      <c r="B41" s="78" t="s">
        <v>12</v>
      </c>
      <c r="C41" s="65">
        <f>34.98*12</f>
        <v>419.76</v>
      </c>
      <c r="D41" s="83" t="s">
        <v>13</v>
      </c>
      <c r="E41" s="200" t="s">
        <v>99</v>
      </c>
      <c r="G41" s="9">
        <v>419.76</v>
      </c>
    </row>
    <row r="42" spans="2:7">
      <c r="B42" s="78" t="s">
        <v>14</v>
      </c>
      <c r="C42" s="65">
        <f>137.5*12*0</f>
        <v>0</v>
      </c>
      <c r="D42" s="83" t="s">
        <v>15</v>
      </c>
      <c r="E42" s="200"/>
      <c r="G42" s="9">
        <v>0</v>
      </c>
    </row>
    <row r="43" spans="2:7">
      <c r="B43" s="78" t="s">
        <v>16</v>
      </c>
      <c r="C43" s="65">
        <f>123.75*12</f>
        <v>1485</v>
      </c>
      <c r="D43" s="83" t="s">
        <v>17</v>
      </c>
      <c r="E43" s="200" t="s">
        <v>99</v>
      </c>
      <c r="G43" s="9">
        <v>1485</v>
      </c>
    </row>
    <row r="44" spans="2:7">
      <c r="B44" s="78" t="s">
        <v>18</v>
      </c>
      <c r="C44" s="65">
        <f>123.75*12</f>
        <v>1485</v>
      </c>
      <c r="D44" s="83" t="s">
        <v>17</v>
      </c>
      <c r="E44" s="200" t="s">
        <v>99</v>
      </c>
      <c r="G44" s="9">
        <v>1485</v>
      </c>
    </row>
    <row r="45" spans="2:7">
      <c r="B45" s="78" t="s">
        <v>19</v>
      </c>
      <c r="C45" s="65">
        <f>150*12*0</f>
        <v>0</v>
      </c>
      <c r="D45" s="107" t="s">
        <v>20</v>
      </c>
      <c r="E45" s="108"/>
      <c r="G45" s="9">
        <v>0</v>
      </c>
    </row>
    <row r="46" spans="2:7">
      <c r="B46" s="78" t="s">
        <v>69</v>
      </c>
      <c r="C46" s="65">
        <f>137.5*12</f>
        <v>1650</v>
      </c>
      <c r="D46" s="107" t="s">
        <v>15</v>
      </c>
      <c r="E46" s="108" t="s">
        <v>99</v>
      </c>
      <c r="G46" s="9">
        <v>1650</v>
      </c>
    </row>
    <row r="47" spans="2:7">
      <c r="B47" s="104" t="s">
        <v>21</v>
      </c>
      <c r="C47" s="65">
        <v>0</v>
      </c>
      <c r="D47" s="107"/>
      <c r="E47" s="108"/>
      <c r="G47" s="9">
        <v>0</v>
      </c>
    </row>
    <row r="48" spans="2:7" ht="18.75">
      <c r="B48" s="105" t="s">
        <v>23</v>
      </c>
      <c r="C48" s="106">
        <f>C39+C40+C47</f>
        <v>244061.737884</v>
      </c>
      <c r="D48" s="107"/>
      <c r="E48" s="108"/>
      <c r="G48" s="9">
        <v>247334.51112000004</v>
      </c>
    </row>
    <row r="49" spans="2:8" ht="15.75">
      <c r="B49" s="91" t="s">
        <v>24</v>
      </c>
      <c r="C49" s="109" t="s">
        <v>5</v>
      </c>
      <c r="D49" s="110" t="s">
        <v>25</v>
      </c>
      <c r="E49" s="108"/>
      <c r="G49" s="9" t="s">
        <v>5</v>
      </c>
    </row>
    <row r="50" spans="2:8" ht="15.75">
      <c r="B50" s="111" t="s">
        <v>26</v>
      </c>
      <c r="C50" s="95"/>
      <c r="D50" s="112"/>
      <c r="E50" s="108"/>
      <c r="H50" s="2"/>
    </row>
    <row r="51" spans="2:8" ht="51">
      <c r="B51" s="113" t="s">
        <v>27</v>
      </c>
      <c r="C51" s="290">
        <f>(0.29*(3565+200)*1.5*1.15*1.083*1.302*3)+(0.29*(3708+200)*1.5*1.15*1.083*1.302*9)+(0.1*597*12)</f>
        <v>33493.548795205497</v>
      </c>
      <c r="D51" s="291" t="s">
        <v>315</v>
      </c>
      <c r="E51" s="200" t="s">
        <v>100</v>
      </c>
      <c r="G51" s="9">
        <v>32439.262254214493</v>
      </c>
      <c r="H51" s="3"/>
    </row>
    <row r="52" spans="2:8" ht="15.75">
      <c r="B52" s="113" t="s">
        <v>28</v>
      </c>
      <c r="C52" s="183"/>
      <c r="D52" s="184"/>
      <c r="E52" s="200"/>
      <c r="H52" s="3"/>
    </row>
    <row r="53" spans="2:8" ht="15.75">
      <c r="B53" s="113" t="s">
        <v>29</v>
      </c>
      <c r="C53" s="183"/>
      <c r="D53" s="184"/>
      <c r="E53" s="200"/>
      <c r="H53" s="3"/>
    </row>
    <row r="54" spans="2:8" s="7" customFormat="1" ht="51">
      <c r="B54" s="113" t="s">
        <v>30</v>
      </c>
      <c r="C54" s="292">
        <f>63*(360.84*0.025*3+362.52*0.025*3+382.25*0.025*6)</f>
        <v>7030.1385</v>
      </c>
      <c r="D54" s="293" t="s">
        <v>316</v>
      </c>
      <c r="E54" s="199" t="s">
        <v>101</v>
      </c>
      <c r="F54" s="114"/>
      <c r="G54" s="114">
        <v>5103.4157999999998</v>
      </c>
      <c r="H54" s="3"/>
    </row>
    <row r="55" spans="2:8" ht="15.75">
      <c r="B55" s="113" t="s">
        <v>31</v>
      </c>
      <c r="C55" s="294">
        <f>(16.86+17.53)*27</f>
        <v>928.53</v>
      </c>
      <c r="D55" s="295" t="s">
        <v>318</v>
      </c>
      <c r="E55" s="200" t="s">
        <v>102</v>
      </c>
      <c r="G55" s="9">
        <v>932.84999999999991</v>
      </c>
      <c r="H55" s="3"/>
    </row>
    <row r="56" spans="2:8" ht="25.5">
      <c r="B56" s="113" t="s">
        <v>32</v>
      </c>
      <c r="C56" s="294">
        <f>(49.72+51.71)*2*27</f>
        <v>5477.22</v>
      </c>
      <c r="D56" s="295" t="s">
        <v>319</v>
      </c>
      <c r="E56" s="200" t="s">
        <v>103</v>
      </c>
      <c r="G56" s="9">
        <v>5501.5199999999995</v>
      </c>
      <c r="H56" s="3"/>
    </row>
    <row r="57" spans="2:8" ht="15.75">
      <c r="B57" s="113" t="s">
        <v>33</v>
      </c>
      <c r="C57" s="185">
        <f>0.26*296.5*12</f>
        <v>925.08</v>
      </c>
      <c r="D57" s="155" t="s">
        <v>219</v>
      </c>
      <c r="E57" s="200" t="s">
        <v>99</v>
      </c>
      <c r="G57" s="9">
        <v>925.08</v>
      </c>
      <c r="H57" s="3"/>
    </row>
    <row r="58" spans="2:8" ht="15.75">
      <c r="B58" s="115" t="s">
        <v>34</v>
      </c>
      <c r="C58" s="185">
        <f>1.02*296.5*4</f>
        <v>1209.72</v>
      </c>
      <c r="D58" s="155" t="s">
        <v>220</v>
      </c>
      <c r="E58" s="200" t="s">
        <v>103</v>
      </c>
      <c r="G58" s="9">
        <v>1209.72</v>
      </c>
      <c r="H58" s="3"/>
    </row>
    <row r="59" spans="2:8" ht="25.5">
      <c r="B59" s="94" t="s">
        <v>35</v>
      </c>
      <c r="C59" s="296">
        <f>(700.55*6+728.57*6)</f>
        <v>8574.7199999999993</v>
      </c>
      <c r="D59" s="297" t="s">
        <v>320</v>
      </c>
      <c r="E59" s="200"/>
      <c r="G59" s="9">
        <v>8612.5799999999981</v>
      </c>
      <c r="H59" s="3"/>
    </row>
    <row r="60" spans="2:8" ht="25.5">
      <c r="B60" s="94" t="s">
        <v>70</v>
      </c>
      <c r="C60" s="298">
        <f>(695.13*6+722.94*6)</f>
        <v>8508.42</v>
      </c>
      <c r="D60" s="297" t="s">
        <v>321</v>
      </c>
      <c r="E60" s="200" t="s">
        <v>99</v>
      </c>
      <c r="G60" s="9">
        <v>8545.92</v>
      </c>
      <c r="H60" s="3"/>
    </row>
    <row r="61" spans="2:8" ht="15.75">
      <c r="B61" s="94" t="s">
        <v>216</v>
      </c>
      <c r="C61" s="305">
        <f>172.95*12</f>
        <v>2075.3999999999996</v>
      </c>
      <c r="D61" s="322" t="s">
        <v>221</v>
      </c>
      <c r="E61" s="200" t="s">
        <v>99</v>
      </c>
      <c r="G61" s="9">
        <v>2075.3999999999996</v>
      </c>
      <c r="H61" s="3"/>
    </row>
    <row r="62" spans="2:8" ht="50.25" customHeight="1">
      <c r="B62" s="94" t="s">
        <v>40</v>
      </c>
      <c r="C62" s="299">
        <f>63*(211.42*6*1.45/12+226.93*6*1.45/12)</f>
        <v>20021.63625</v>
      </c>
      <c r="D62" s="297" t="s">
        <v>322</v>
      </c>
      <c r="E62" s="200" t="s">
        <v>101</v>
      </c>
      <c r="G62" s="9">
        <v>17431.863749999997</v>
      </c>
      <c r="H62" s="3"/>
    </row>
    <row r="63" spans="2:8" ht="25.5">
      <c r="B63" s="94" t="s">
        <v>41</v>
      </c>
      <c r="C63" s="296">
        <f>9.53*(232.8*6+243.11*6)</f>
        <v>27212.533799999997</v>
      </c>
      <c r="D63" s="300" t="s">
        <v>323</v>
      </c>
      <c r="E63" s="200" t="s">
        <v>101</v>
      </c>
      <c r="G63" s="9">
        <v>35267.484000000004</v>
      </c>
      <c r="H63" s="3"/>
    </row>
    <row r="64" spans="2:8" ht="15.75">
      <c r="B64" s="116" t="s">
        <v>42</v>
      </c>
      <c r="C64" s="117">
        <f>C51+C52+C53+C54+C55+C56+C57+C58+C59+C60+C61+C62+C63</f>
        <v>115456.9473452055</v>
      </c>
      <c r="D64" s="217"/>
      <c r="E64" s="108"/>
      <c r="G64" s="9">
        <v>118045.09580421448</v>
      </c>
    </row>
    <row r="65" spans="2:8">
      <c r="B65" s="113" t="s">
        <v>43</v>
      </c>
      <c r="C65" s="65"/>
      <c r="D65" s="83"/>
      <c r="E65" s="200"/>
    </row>
    <row r="66" spans="2:8" s="8" customFormat="1" ht="51">
      <c r="B66" s="119" t="s">
        <v>44</v>
      </c>
      <c r="C66" s="294">
        <f>(5.39*96.4189*3)+(5.39*100.2864*9)+(1.78*(C14+C15)*12)</f>
        <v>37039.274877000003</v>
      </c>
      <c r="D66" s="301" t="s">
        <v>325</v>
      </c>
      <c r="E66" s="204"/>
      <c r="F66" s="120"/>
      <c r="G66" s="120">
        <v>36114.185989999998</v>
      </c>
    </row>
    <row r="67" spans="2:8">
      <c r="B67" s="115" t="s">
        <v>45</v>
      </c>
      <c r="C67" s="65">
        <f>13.69*569</f>
        <v>7789.61</v>
      </c>
      <c r="D67" s="83" t="s">
        <v>326</v>
      </c>
      <c r="E67" s="200" t="s">
        <v>104</v>
      </c>
      <c r="G67" s="9">
        <v>7402.69</v>
      </c>
    </row>
    <row r="68" spans="2:8" ht="89.25">
      <c r="B68" s="172" t="s">
        <v>94</v>
      </c>
      <c r="C68" s="70">
        <f>17.51*(C14+C15)*0</f>
        <v>0</v>
      </c>
      <c r="D68" s="83" t="s">
        <v>327</v>
      </c>
      <c r="E68" s="200"/>
      <c r="G68" s="9">
        <v>0</v>
      </c>
    </row>
    <row r="69" spans="2:8" ht="51">
      <c r="B69" s="113" t="s">
        <v>46</v>
      </c>
      <c r="C69" s="294">
        <f>(632.04+251.07/3)*5042/1000</f>
        <v>3608.7106600000002</v>
      </c>
      <c r="D69" s="301" t="s">
        <v>328</v>
      </c>
      <c r="E69" s="94" t="s">
        <v>105</v>
      </c>
      <c r="G69" s="9">
        <v>3575.9712733333336</v>
      </c>
    </row>
    <row r="70" spans="2:8" ht="51">
      <c r="B70" s="121" t="s">
        <v>47</v>
      </c>
      <c r="C70" s="302">
        <f>((154.89/12*3*96.4189)+(154.89/12*9*100.2864))+((154.89/12*3*96.4189)+(154.89/12*9*100.2864))/1.302*25%</f>
        <v>18337.441708672806</v>
      </c>
      <c r="D70" s="301" t="s">
        <v>329</v>
      </c>
      <c r="E70" s="200"/>
      <c r="G70" s="9">
        <v>17723.261735965181</v>
      </c>
    </row>
    <row r="71" spans="2:8" ht="15.75">
      <c r="B71" s="122" t="s">
        <v>48</v>
      </c>
      <c r="C71" s="117">
        <f>C66+C67+C68+C69+C70</f>
        <v>66775.037245672807</v>
      </c>
      <c r="D71" s="118"/>
      <c r="E71" s="200"/>
      <c r="G71" s="9">
        <v>64816.108999298522</v>
      </c>
    </row>
    <row r="72" spans="2:8">
      <c r="B72" s="121" t="s">
        <v>49</v>
      </c>
      <c r="C72" s="65"/>
      <c r="D72" s="83"/>
      <c r="E72" s="200"/>
    </row>
    <row r="73" spans="2:8" s="7" customFormat="1" ht="12.75">
      <c r="B73" s="123" t="s">
        <v>50</v>
      </c>
      <c r="C73" s="124"/>
      <c r="D73" s="125"/>
      <c r="E73" s="199"/>
      <c r="F73" s="114"/>
      <c r="G73" s="114"/>
    </row>
    <row r="74" spans="2:8">
      <c r="B74" s="121" t="s">
        <v>51</v>
      </c>
      <c r="C74" s="95"/>
      <c r="D74" s="126"/>
      <c r="E74" s="200"/>
    </row>
    <row r="75" spans="2:8">
      <c r="B75" s="121" t="s">
        <v>52</v>
      </c>
      <c r="C75" s="95"/>
      <c r="D75" s="126"/>
      <c r="E75" s="200"/>
    </row>
    <row r="76" spans="2:8">
      <c r="B76" s="121" t="s">
        <v>53</v>
      </c>
      <c r="C76" s="95"/>
      <c r="D76" s="126"/>
      <c r="E76" s="200"/>
    </row>
    <row r="77" spans="2:8">
      <c r="B77" s="121" t="s">
        <v>54</v>
      </c>
      <c r="C77" s="95"/>
      <c r="D77" s="126"/>
      <c r="E77" s="200"/>
    </row>
    <row r="78" spans="2:8" ht="15.75">
      <c r="B78" s="122" t="s">
        <v>55</v>
      </c>
      <c r="C78" s="127">
        <f>C73+C74</f>
        <v>0</v>
      </c>
      <c r="D78" s="128"/>
      <c r="E78" s="200"/>
      <c r="G78" s="9">
        <v>0</v>
      </c>
    </row>
    <row r="79" spans="2:8">
      <c r="B79" s="129" t="s">
        <v>56</v>
      </c>
      <c r="C79" s="95">
        <f>3.05*(1087.8+370.2)</f>
        <v>4446.8999999999996</v>
      </c>
      <c r="D79" s="126" t="s">
        <v>330</v>
      </c>
      <c r="E79" s="200"/>
      <c r="G79" s="9">
        <v>4252.9859999999999</v>
      </c>
    </row>
    <row r="80" spans="2:8" ht="15.75">
      <c r="B80" s="130" t="s">
        <v>57</v>
      </c>
      <c r="C80" s="131">
        <f>1.49*(1087.8+370.2)</f>
        <v>2172.42</v>
      </c>
      <c r="D80" s="131" t="s">
        <v>832</v>
      </c>
      <c r="E80" s="200"/>
      <c r="G80" s="9">
        <v>2434.8599999999997</v>
      </c>
      <c r="H80" s="4"/>
    </row>
    <row r="81" spans="2:7">
      <c r="B81" s="78" t="s">
        <v>58</v>
      </c>
      <c r="C81" s="95">
        <f>(C64+C71)*0.341</f>
        <v>62141.106745489509</v>
      </c>
      <c r="D81" s="126" t="s">
        <v>331</v>
      </c>
      <c r="E81" s="200"/>
      <c r="G81" s="9">
        <v>58881.307946731191</v>
      </c>
    </row>
    <row r="82" spans="2:7" ht="38.25">
      <c r="B82" s="78" t="s">
        <v>95</v>
      </c>
      <c r="C82" s="131">
        <f>(C64+C71+C81)*0.132</f>
        <v>32257.248056400556</v>
      </c>
      <c r="D82" s="126" t="s">
        <v>332</v>
      </c>
      <c r="E82" s="200" t="s">
        <v>99</v>
      </c>
      <c r="G82" s="9">
        <v>23690.766249523935</v>
      </c>
    </row>
    <row r="83" spans="2:7" ht="15.75">
      <c r="B83" s="157" t="s">
        <v>96</v>
      </c>
      <c r="C83" s="127">
        <f>C79+C80+C81+C82</f>
        <v>101017.67480189005</v>
      </c>
      <c r="D83" s="128"/>
      <c r="E83" s="200"/>
      <c r="G83" s="9">
        <v>89259.920196255131</v>
      </c>
    </row>
    <row r="84" spans="2:7">
      <c r="B84" s="78" t="s">
        <v>59</v>
      </c>
      <c r="C84" s="95">
        <f>(C64+C71+C78+C83)*3%</f>
        <v>8497.4897817830497</v>
      </c>
      <c r="D84" s="126"/>
      <c r="E84" s="200"/>
      <c r="G84" s="9">
        <v>8163.6337499930441</v>
      </c>
    </row>
    <row r="85" spans="2:7" ht="15.75">
      <c r="B85" s="133" t="s">
        <v>23</v>
      </c>
      <c r="C85" s="134">
        <f>C64+C71+C78+C83+C84</f>
        <v>291747.14917455136</v>
      </c>
      <c r="D85" s="135"/>
      <c r="E85" s="200"/>
      <c r="G85" s="9">
        <v>280284.75874976121</v>
      </c>
    </row>
    <row r="86" spans="2:7" ht="15.75">
      <c r="B86" s="133" t="s">
        <v>60</v>
      </c>
      <c r="C86" s="134">
        <f>C85*1.18</f>
        <v>344261.63602597057</v>
      </c>
      <c r="D86" s="218"/>
      <c r="E86" s="108"/>
      <c r="G86" s="9">
        <v>330736.0153247182</v>
      </c>
    </row>
    <row r="87" spans="2:7" ht="15.75">
      <c r="B87" s="136"/>
      <c r="C87" s="137">
        <f>C48-C86</f>
        <v>-100199.89814197057</v>
      </c>
      <c r="D87" s="138"/>
      <c r="E87" s="200"/>
      <c r="G87" s="9">
        <v>-83401.504204718163</v>
      </c>
    </row>
    <row r="88" spans="2:7" ht="30">
      <c r="B88" s="159" t="s">
        <v>106</v>
      </c>
      <c r="C88" s="188">
        <f>C86/(C14+C15)/12</f>
        <v>20.015676877716377</v>
      </c>
      <c r="D88" s="189" t="s">
        <v>333</v>
      </c>
      <c r="E88" s="200"/>
      <c r="G88" s="9">
        <v>18.90352168065376</v>
      </c>
    </row>
    <row r="89" spans="2:7">
      <c r="B89" s="161"/>
      <c r="C89" s="190"/>
      <c r="D89" s="191"/>
      <c r="E89" s="205"/>
    </row>
    <row r="90" spans="2:7" ht="15" customHeight="1">
      <c r="B90" s="345" t="s">
        <v>97</v>
      </c>
      <c r="C90" s="345"/>
      <c r="D90" s="345"/>
      <c r="E90" s="303"/>
    </row>
    <row r="91" spans="2:7" ht="30" customHeight="1">
      <c r="B91" s="348" t="s">
        <v>334</v>
      </c>
      <c r="C91" s="348"/>
      <c r="D91" s="348"/>
      <c r="E91" s="348"/>
    </row>
    <row r="92" spans="2:7" ht="25.5" customHeight="1">
      <c r="B92" s="348" t="s">
        <v>335</v>
      </c>
      <c r="C92" s="348"/>
      <c r="D92" s="348"/>
      <c r="E92" s="348"/>
    </row>
    <row r="93" spans="2:7" ht="27.75" customHeight="1">
      <c r="B93" s="163"/>
      <c r="C93" s="192"/>
      <c r="D93" s="193"/>
      <c r="E93" s="174"/>
    </row>
    <row r="94" spans="2:7">
      <c r="B94" s="163"/>
      <c r="C94" s="192"/>
      <c r="D94" s="193"/>
      <c r="E94" s="174"/>
    </row>
    <row r="95" spans="2:7">
      <c r="B95" s="164"/>
      <c r="C95" s="194"/>
      <c r="D95" s="195"/>
      <c r="E95" s="174"/>
    </row>
    <row r="96" spans="2:7">
      <c r="B96" s="344" t="s">
        <v>213</v>
      </c>
      <c r="C96" s="344"/>
      <c r="D96" s="344"/>
    </row>
    <row r="100" spans="2:4" s="9" customFormat="1">
      <c r="B100" s="47"/>
      <c r="C100" s="47"/>
      <c r="D100" s="47"/>
    </row>
    <row r="101" spans="2:4" s="9" customFormat="1">
      <c r="B101" s="47"/>
      <c r="C101" s="47"/>
      <c r="D101" s="47"/>
    </row>
    <row r="102" spans="2:4" s="9" customFormat="1">
      <c r="B102" s="47"/>
      <c r="C102" s="47"/>
      <c r="D102" s="47"/>
    </row>
    <row r="103" spans="2:4" s="9" customFormat="1">
      <c r="B103" s="47"/>
      <c r="C103" s="47"/>
      <c r="D103" s="47"/>
    </row>
    <row r="104" spans="2:4" s="9" customFormat="1">
      <c r="B104" s="47"/>
      <c r="C104" s="47"/>
      <c r="D104" s="47"/>
    </row>
    <row r="105" spans="2:4" s="9" customFormat="1">
      <c r="B105" s="47"/>
      <c r="C105" s="47"/>
      <c r="D105" s="47"/>
    </row>
    <row r="106" spans="2:4" s="9" customFormat="1">
      <c r="B106" s="47"/>
      <c r="C106" s="47"/>
      <c r="D106" s="47"/>
    </row>
    <row r="107" spans="2:4" s="9" customFormat="1">
      <c r="B107" s="47"/>
      <c r="C107" s="47"/>
      <c r="D107" s="47"/>
    </row>
  </sheetData>
  <mergeCells count="6">
    <mergeCell ref="B96:D96"/>
    <mergeCell ref="B90:D90"/>
    <mergeCell ref="B10:E10"/>
    <mergeCell ref="B11:E12"/>
    <mergeCell ref="B91:E91"/>
    <mergeCell ref="B92:E9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B3:K98"/>
  <sheetViews>
    <sheetView topLeftCell="A51" workbookViewId="0">
      <selection activeCell="E67" sqref="E67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" style="9" customWidth="1"/>
    <col min="6" max="6" width="4.42578125" style="62" customWidth="1"/>
    <col min="7" max="7" width="9.140625" style="62"/>
    <col min="8" max="8" width="7.5703125" style="62" customWidth="1"/>
    <col min="9" max="9" width="16.570312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14.97</v>
      </c>
      <c r="K5" s="148" t="s">
        <v>186</v>
      </c>
    </row>
    <row r="6" spans="2:11" ht="15.75">
      <c r="D6" s="176"/>
      <c r="I6" s="147" t="s">
        <v>162</v>
      </c>
      <c r="J6" s="147">
        <v>3002.3</v>
      </c>
      <c r="K6" s="148"/>
    </row>
    <row r="7" spans="2:11" ht="15.75">
      <c r="D7" s="176" t="s">
        <v>297</v>
      </c>
      <c r="I7" s="147" t="s">
        <v>163</v>
      </c>
      <c r="J7" s="147">
        <v>30</v>
      </c>
      <c r="K7" s="148"/>
    </row>
    <row r="8" spans="2:11" ht="15.75">
      <c r="D8" s="66"/>
      <c r="I8" s="147" t="s">
        <v>164</v>
      </c>
      <c r="J8" s="283">
        <v>233</v>
      </c>
      <c r="K8" s="148"/>
    </row>
    <row r="9" spans="2:11" ht="15.75">
      <c r="D9" s="66"/>
      <c r="I9" s="149" t="s">
        <v>165</v>
      </c>
      <c r="J9" s="147">
        <v>12285</v>
      </c>
      <c r="K9" s="148"/>
    </row>
    <row r="10" spans="2:11" ht="30" customHeight="1">
      <c r="B10" s="346" t="s">
        <v>299</v>
      </c>
      <c r="C10" s="346"/>
      <c r="D10" s="346"/>
      <c r="E10" s="346"/>
      <c r="I10" s="147" t="s">
        <v>166</v>
      </c>
      <c r="J10" s="147">
        <v>160</v>
      </c>
      <c r="K10" s="148"/>
    </row>
    <row r="11" spans="2:11" ht="15" customHeight="1">
      <c r="B11" s="347" t="s">
        <v>115</v>
      </c>
      <c r="C11" s="347"/>
      <c r="D11" s="347"/>
      <c r="E11" s="347"/>
      <c r="I11" s="147" t="s">
        <v>167</v>
      </c>
      <c r="J11" s="147">
        <v>1055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3002.3</v>
      </c>
      <c r="D14" s="77" t="s">
        <v>61</v>
      </c>
      <c r="I14" s="147" t="s">
        <v>170</v>
      </c>
      <c r="J14" s="283">
        <v>1403.6</v>
      </c>
      <c r="K14" s="148"/>
    </row>
    <row r="15" spans="2:11" s="6" customFormat="1" ht="15.75">
      <c r="B15" s="86" t="s">
        <v>3</v>
      </c>
      <c r="C15" s="87">
        <v>61.3</v>
      </c>
      <c r="D15" s="88"/>
      <c r="E15" s="89"/>
      <c r="I15" s="147" t="s">
        <v>171</v>
      </c>
      <c r="J15" s="285">
        <v>937.9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300.63023309609702</v>
      </c>
      <c r="K17" s="148"/>
    </row>
    <row r="18" spans="2:11">
      <c r="B18" s="93" t="s">
        <v>7</v>
      </c>
      <c r="C18" s="198">
        <f>C14*14.97*12</f>
        <v>539333.17200000002</v>
      </c>
      <c r="D18" s="155" t="s">
        <v>241</v>
      </c>
      <c r="E18" s="199" t="s">
        <v>99</v>
      </c>
      <c r="I18" s="147" t="s">
        <v>174</v>
      </c>
      <c r="J18" s="147">
        <v>6.96</v>
      </c>
      <c r="K18" s="148"/>
    </row>
    <row r="19" spans="2:11" ht="38.25">
      <c r="B19" s="94" t="s">
        <v>8</v>
      </c>
      <c r="C19" s="286">
        <f>233*(211.42*6*1.45/12+226.93*6*1.45/12)*1.18</f>
        <v>87376.96302499999</v>
      </c>
      <c r="D19" s="287" t="s">
        <v>507</v>
      </c>
      <c r="E19" s="200"/>
      <c r="I19" s="147" t="s">
        <v>175</v>
      </c>
      <c r="J19" s="150">
        <v>0.59</v>
      </c>
      <c r="K19" s="154">
        <f>(J15/3+J14)/2920</f>
        <v>0.58775114155251129</v>
      </c>
    </row>
    <row r="20" spans="2:11">
      <c r="B20" s="96" t="s">
        <v>9</v>
      </c>
      <c r="C20" s="95">
        <f>C21</f>
        <v>12999.903251999998</v>
      </c>
      <c r="D20" s="97"/>
      <c r="E20" s="200"/>
      <c r="I20" s="151" t="s">
        <v>176</v>
      </c>
      <c r="J20" s="151"/>
      <c r="K20" s="154">
        <f>J7/144</f>
        <v>0.20833333333333334</v>
      </c>
    </row>
    <row r="21" spans="2:11">
      <c r="B21" s="78" t="s">
        <v>84</v>
      </c>
      <c r="C21" s="98">
        <f>C22+C23</f>
        <v>12999.903251999998</v>
      </c>
      <c r="D21" s="99"/>
      <c r="E21" s="200"/>
      <c r="I21" s="152" t="s">
        <v>177</v>
      </c>
      <c r="J21" s="153"/>
      <c r="K21" s="154">
        <f>J24/1180</f>
        <v>0</v>
      </c>
    </row>
    <row r="22" spans="2:11">
      <c r="B22" s="100" t="s">
        <v>63</v>
      </c>
      <c r="C22" s="178">
        <f>61.3*14.97*12</f>
        <v>11011.931999999999</v>
      </c>
      <c r="D22" s="181" t="s">
        <v>242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288">
        <f>0.59*(232.8*1.18*6+243.11*1.18*6)</f>
        <v>1987.971252</v>
      </c>
      <c r="D23" s="289" t="s">
        <v>369</v>
      </c>
      <c r="E23" s="200" t="s">
        <v>99</v>
      </c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552333.07525200001</v>
      </c>
      <c r="D24" s="83"/>
      <c r="E24" s="200"/>
      <c r="I24" s="148" t="s">
        <v>180</v>
      </c>
      <c r="J24" s="148"/>
      <c r="K24" s="148"/>
    </row>
    <row r="25" spans="2:11">
      <c r="B25" s="104" t="s">
        <v>11</v>
      </c>
      <c r="C25" s="65">
        <f>C26+C27+C28+C29+C30+C31</f>
        <v>6839.76</v>
      </c>
      <c r="D25" s="83"/>
      <c r="E25" s="200"/>
      <c r="I25" s="74" t="s">
        <v>185</v>
      </c>
      <c r="J25" s="74">
        <v>360</v>
      </c>
      <c r="K25" s="74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  <c r="G32" s="62" t="s">
        <v>22</v>
      </c>
    </row>
    <row r="33" spans="2:8" ht="18.75">
      <c r="B33" s="105" t="s">
        <v>23</v>
      </c>
      <c r="C33" s="106">
        <f>C24+C25+C32</f>
        <v>559172.83525200002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(0.59*(3565+200)*1.5*1.15*1.083*1.302*3)+(0.59*(3708+200)*1.5*1.15*1.083*1.302*9)+(0.1*1403.6*12)</f>
        <v>68368.864100590494</v>
      </c>
      <c r="D36" s="291" t="s">
        <v>871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233*(360.84*0.025*3+362.52*0.025*3+382.25*0.025*6)</f>
        <v>26000.353500000001</v>
      </c>
      <c r="D39" s="293" t="s">
        <v>496</v>
      </c>
      <c r="E39" s="199" t="s">
        <v>101</v>
      </c>
      <c r="H39" s="3"/>
    </row>
    <row r="40" spans="2:8" ht="15.75">
      <c r="B40" s="113" t="s">
        <v>31</v>
      </c>
      <c r="C40" s="294">
        <f>(16.86+17.53)*30</f>
        <v>1031.7</v>
      </c>
      <c r="D40" s="295" t="s">
        <v>497</v>
      </c>
      <c r="E40" s="200" t="s">
        <v>102</v>
      </c>
      <c r="H40" s="3"/>
    </row>
    <row r="41" spans="2:8" ht="25.5">
      <c r="B41" s="113" t="s">
        <v>32</v>
      </c>
      <c r="C41" s="294">
        <f>(49.72+51.71)*2*0</f>
        <v>0</v>
      </c>
      <c r="D41" s="295" t="s">
        <v>317</v>
      </c>
      <c r="E41" s="200"/>
      <c r="H41" s="3"/>
    </row>
    <row r="42" spans="2:8" ht="15.75">
      <c r="B42" s="113" t="s">
        <v>33</v>
      </c>
      <c r="C42" s="185">
        <f>0.26*360*12</f>
        <v>1123.2</v>
      </c>
      <c r="D42" s="155" t="s">
        <v>243</v>
      </c>
      <c r="E42" s="200" t="s">
        <v>99</v>
      </c>
      <c r="H42" s="3"/>
    </row>
    <row r="43" spans="2:8" ht="15.75">
      <c r="B43" s="115" t="s">
        <v>34</v>
      </c>
      <c r="C43" s="185">
        <f>1.02*360*4</f>
        <v>1468.8</v>
      </c>
      <c r="D43" s="155" t="s">
        <v>244</v>
      </c>
      <c r="E43" s="200" t="s">
        <v>103</v>
      </c>
      <c r="H43" s="3"/>
    </row>
    <row r="44" spans="2:8" ht="25.5">
      <c r="B44" s="94" t="s">
        <v>35</v>
      </c>
      <c r="C44" s="296">
        <f>(700.55*6+728.57*6)</f>
        <v>8574.7199999999993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</f>
        <v>8508.42</v>
      </c>
      <c r="D45" s="297" t="s">
        <v>321</v>
      </c>
      <c r="E45" s="200" t="s">
        <v>99</v>
      </c>
      <c r="H45" s="3"/>
    </row>
    <row r="46" spans="2:8" ht="15.75">
      <c r="B46" s="94" t="s">
        <v>216</v>
      </c>
      <c r="C46" s="323">
        <f>497.06*12</f>
        <v>5964.72</v>
      </c>
      <c r="D46" s="324" t="s">
        <v>245</v>
      </c>
      <c r="E46" s="200" t="s">
        <v>99</v>
      </c>
      <c r="H46" s="3"/>
    </row>
    <row r="47" spans="2:8" ht="50.25" customHeight="1">
      <c r="B47" s="94" t="s">
        <v>40</v>
      </c>
      <c r="C47" s="299">
        <f>233*(211.42*6*1.45/12+226.93*6*1.45/12)</f>
        <v>74048.273749999993</v>
      </c>
      <c r="D47" s="297" t="s">
        <v>498</v>
      </c>
      <c r="E47" s="200" t="s">
        <v>101</v>
      </c>
      <c r="H47" s="3"/>
    </row>
    <row r="48" spans="2:8" ht="25.5">
      <c r="B48" s="94" t="s">
        <v>41</v>
      </c>
      <c r="C48" s="296">
        <f>0.59*(232.8*6+243.11*6)</f>
        <v>1684.7213999999999</v>
      </c>
      <c r="D48" s="300" t="s">
        <v>499</v>
      </c>
      <c r="E48" s="200" t="s">
        <v>101</v>
      </c>
      <c r="H48" s="3"/>
    </row>
    <row r="49" spans="2:5" ht="15.75">
      <c r="B49" s="116" t="s">
        <v>42</v>
      </c>
      <c r="C49" s="117">
        <f>SUM(C36:C48)</f>
        <v>196773.77275059049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(6.96*96.4189*3)+(6.96*100.2864*9)+(1.78*(C14+C15)*12)</f>
        <v>73733.66272800001</v>
      </c>
      <c r="D51" s="301" t="s">
        <v>500</v>
      </c>
      <c r="E51" s="204"/>
    </row>
    <row r="52" spans="2:5">
      <c r="B52" s="115" t="s">
        <v>45</v>
      </c>
      <c r="C52" s="65">
        <f>13.69*1055</f>
        <v>14442.949999999999</v>
      </c>
      <c r="D52" s="83" t="s">
        <v>501</v>
      </c>
      <c r="E52" s="200" t="s">
        <v>104</v>
      </c>
    </row>
    <row r="53" spans="2:5" ht="89.25">
      <c r="B53" s="172" t="s">
        <v>94</v>
      </c>
      <c r="C53" s="70">
        <f>17.51*(C14+C15)</f>
        <v>53643.636000000013</v>
      </c>
      <c r="D53" s="83" t="s">
        <v>502</v>
      </c>
      <c r="E53" s="200"/>
    </row>
    <row r="54" spans="2:5" ht="51">
      <c r="B54" s="113" t="s">
        <v>46</v>
      </c>
      <c r="C54" s="294">
        <f>(632.04+251.07/3)*12285/1000</f>
        <v>8792.7430500000009</v>
      </c>
      <c r="D54" s="301" t="s">
        <v>503</v>
      </c>
      <c r="E54" s="94" t="s">
        <v>105</v>
      </c>
    </row>
    <row r="55" spans="2:5" ht="51">
      <c r="B55" s="121" t="s">
        <v>47</v>
      </c>
      <c r="C55" s="302">
        <f>((300.63/12*3*96.4189)+(300.63/12*9*100.2864))+((300.63/12*3*96.4189)+(300.63/12*9*100.2864))/1.302*25%</f>
        <v>35591.614054350226</v>
      </c>
      <c r="D55" s="301" t="s">
        <v>504</v>
      </c>
      <c r="E55" s="200"/>
    </row>
    <row r="56" spans="2:5" ht="15.75">
      <c r="B56" s="122" t="s">
        <v>48</v>
      </c>
      <c r="C56" s="117">
        <f>C51+C52+C53+C54+C55</f>
        <v>186204.60583235027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3.05*(3002.3+61.3)</f>
        <v>9343.9800000000014</v>
      </c>
      <c r="D64" s="126" t="s">
        <v>505</v>
      </c>
      <c r="E64" s="200"/>
    </row>
    <row r="65" spans="2:8" ht="15.75">
      <c r="B65" s="130" t="s">
        <v>57</v>
      </c>
      <c r="C65" s="131">
        <f>1.49*(3002.3+61.3)</f>
        <v>4564.7640000000001</v>
      </c>
      <c r="D65" s="131" t="s">
        <v>841</v>
      </c>
      <c r="E65" s="200"/>
      <c r="H65" s="4"/>
    </row>
    <row r="66" spans="2:8">
      <c r="B66" s="78" t="s">
        <v>58</v>
      </c>
      <c r="C66" s="95">
        <f>(C49+C56)*0.341</f>
        <v>130595.62709678282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67791.768749723517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212296.13984650635</v>
      </c>
      <c r="D68" s="128"/>
      <c r="E68" s="200"/>
    </row>
    <row r="69" spans="2:8">
      <c r="B69" s="78" t="s">
        <v>59</v>
      </c>
      <c r="C69" s="95">
        <f>(C49+C56+C63+C68)*3%</f>
        <v>17858.235552883416</v>
      </c>
      <c r="D69" s="126"/>
      <c r="E69" s="200"/>
    </row>
    <row r="70" spans="2:8" ht="15.75">
      <c r="B70" s="133" t="s">
        <v>23</v>
      </c>
      <c r="C70" s="134">
        <f>C49+C56+C63+C68+C69</f>
        <v>613132.75398233067</v>
      </c>
      <c r="D70" s="135"/>
      <c r="E70" s="200"/>
    </row>
    <row r="71" spans="2:8" ht="15.75">
      <c r="B71" s="133" t="s">
        <v>60</v>
      </c>
      <c r="C71" s="134">
        <f>C70*1.18</f>
        <v>723496.64969915012</v>
      </c>
      <c r="D71" s="135"/>
      <c r="E71" s="108"/>
    </row>
    <row r="72" spans="2:8" ht="15.75">
      <c r="B72" s="136"/>
      <c r="C72" s="137">
        <f>C33-C71</f>
        <v>-164323.8144471501</v>
      </c>
      <c r="D72" s="138"/>
      <c r="E72" s="200"/>
    </row>
    <row r="73" spans="2:8" ht="30">
      <c r="B73" s="159" t="s">
        <v>106</v>
      </c>
      <c r="C73" s="188">
        <f>C71/(C14+C15)/12</f>
        <v>19.67991496113369</v>
      </c>
      <c r="D73" s="189" t="s">
        <v>134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9.75" customHeight="1">
      <c r="B76" s="348" t="s">
        <v>334</v>
      </c>
      <c r="C76" s="348"/>
      <c r="D76" s="348"/>
      <c r="E76" s="348"/>
    </row>
    <row r="77" spans="2:8" ht="31.5" customHeight="1">
      <c r="B77" s="348" t="s">
        <v>335</v>
      </c>
      <c r="C77" s="348"/>
      <c r="D77" s="348"/>
      <c r="E77" s="348"/>
    </row>
    <row r="78" spans="2:8" ht="1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213</v>
      </c>
      <c r="C81" s="344"/>
      <c r="D81" s="34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B3:K105"/>
  <sheetViews>
    <sheetView topLeftCell="A61" workbookViewId="0">
      <selection activeCell="D64" sqref="D64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28515625" style="9" customWidth="1"/>
    <col min="6" max="6" width="4.5703125" style="62" customWidth="1"/>
    <col min="7" max="8" width="9.140625" style="62"/>
    <col min="9" max="9" width="17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15.7</v>
      </c>
      <c r="K5" s="148" t="s">
        <v>186</v>
      </c>
    </row>
    <row r="6" spans="2:11" ht="15.75">
      <c r="D6" s="176"/>
      <c r="I6" s="147" t="s">
        <v>162</v>
      </c>
      <c r="J6" s="147">
        <v>2583.1999999999998</v>
      </c>
      <c r="K6" s="148"/>
    </row>
    <row r="7" spans="2:11" ht="15.75">
      <c r="D7" s="176" t="s">
        <v>297</v>
      </c>
      <c r="I7" s="147" t="s">
        <v>163</v>
      </c>
      <c r="J7" s="147">
        <v>64</v>
      </c>
      <c r="K7" s="148"/>
    </row>
    <row r="8" spans="2:11" ht="15.75">
      <c r="D8" s="66"/>
      <c r="I8" s="147" t="s">
        <v>164</v>
      </c>
      <c r="J8" s="283">
        <v>135</v>
      </c>
      <c r="K8" s="148"/>
    </row>
    <row r="9" spans="2:11" ht="15.75">
      <c r="D9" s="66"/>
      <c r="I9" s="149" t="s">
        <v>165</v>
      </c>
      <c r="J9" s="147">
        <v>10055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417</v>
      </c>
      <c r="K10" s="148"/>
    </row>
    <row r="11" spans="2:11" ht="15" customHeight="1">
      <c r="B11" s="347" t="s">
        <v>116</v>
      </c>
      <c r="C11" s="347"/>
      <c r="D11" s="347"/>
      <c r="E11" s="347"/>
      <c r="I11" s="147" t="s">
        <v>167</v>
      </c>
      <c r="J11" s="147">
        <v>1148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2583.1999999999998</v>
      </c>
      <c r="D14" s="77" t="s">
        <v>61</v>
      </c>
      <c r="I14" s="147" t="s">
        <v>170</v>
      </c>
      <c r="J14" s="147">
        <v>1255</v>
      </c>
      <c r="K14" s="148"/>
    </row>
    <row r="15" spans="2:11" s="6" customFormat="1" ht="15.75">
      <c r="B15" s="86" t="s">
        <v>3</v>
      </c>
      <c r="C15" s="87">
        <v>408.3</v>
      </c>
      <c r="D15" s="88"/>
      <c r="E15" s="89"/>
      <c r="I15" s="147" t="s">
        <v>171</v>
      </c>
      <c r="J15" s="6">
        <v>932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393.71907010540798</v>
      </c>
      <c r="K17" s="148"/>
    </row>
    <row r="18" spans="2:11">
      <c r="B18" s="93" t="s">
        <v>7</v>
      </c>
      <c r="C18" s="198">
        <f>C14*15.7*12</f>
        <v>486674.88</v>
      </c>
      <c r="D18" s="155" t="s">
        <v>506</v>
      </c>
      <c r="E18" s="199" t="s">
        <v>99</v>
      </c>
      <c r="I18" s="147" t="s">
        <v>174</v>
      </c>
      <c r="J18" s="147">
        <v>9.4</v>
      </c>
      <c r="K18" s="148"/>
    </row>
    <row r="19" spans="2:11" ht="38.25">
      <c r="B19" s="94" t="s">
        <v>8</v>
      </c>
      <c r="C19" s="286">
        <f>135*(211.42*6*1.45/12+226.93*6*1.45/12)*1.18</f>
        <v>50626.137374999998</v>
      </c>
      <c r="D19" s="287" t="s">
        <v>508</v>
      </c>
      <c r="E19" s="200"/>
      <c r="I19" s="147" t="s">
        <v>175</v>
      </c>
      <c r="J19" s="150">
        <v>0.54</v>
      </c>
      <c r="K19" s="154">
        <f>(J15/3+J14)/2920</f>
        <v>0.53618721461187213</v>
      </c>
    </row>
    <row r="20" spans="2:11">
      <c r="B20" s="96" t="s">
        <v>9</v>
      </c>
      <c r="C20" s="95">
        <f>C21+C24+C27</f>
        <v>79922.524091999992</v>
      </c>
      <c r="D20" s="97"/>
      <c r="E20" s="200"/>
      <c r="I20" s="151" t="s">
        <v>176</v>
      </c>
      <c r="J20" s="151">
        <v>0</v>
      </c>
      <c r="K20" s="154">
        <f>J7/144</f>
        <v>0.44444444444444442</v>
      </c>
    </row>
    <row r="21" spans="2:11">
      <c r="B21" s="78" t="s">
        <v>85</v>
      </c>
      <c r="C21" s="98">
        <f>C22+C23</f>
        <v>65502.318815999992</v>
      </c>
      <c r="D21" s="99"/>
      <c r="E21" s="200"/>
      <c r="I21" s="152" t="s">
        <v>177</v>
      </c>
      <c r="J21" s="153">
        <v>0</v>
      </c>
      <c r="K21" s="154">
        <f>J24/1180</f>
        <v>0</v>
      </c>
    </row>
    <row r="22" spans="2:11">
      <c r="B22" s="100" t="s">
        <v>63</v>
      </c>
      <c r="C22" s="178">
        <f>334.8*15.7*12</f>
        <v>63076.319999999992</v>
      </c>
      <c r="D22" s="181" t="s">
        <v>509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288">
        <f>0.72*(232.8*1.18*6+243.11*1.18*6)</f>
        <v>2425.9988160000003</v>
      </c>
      <c r="D23" s="289" t="s">
        <v>510</v>
      </c>
      <c r="E23" s="200" t="s">
        <v>99</v>
      </c>
      <c r="I23" s="74" t="s">
        <v>179</v>
      </c>
      <c r="J23" s="74"/>
      <c r="K23" s="148"/>
    </row>
    <row r="24" spans="2:11">
      <c r="B24" s="78" t="s">
        <v>86</v>
      </c>
      <c r="C24" s="98">
        <f>C25+C26</f>
        <v>6394.3652759999995</v>
      </c>
      <c r="D24" s="99"/>
      <c r="E24" s="200"/>
      <c r="I24" s="148" t="s">
        <v>180</v>
      </c>
      <c r="J24" s="148"/>
      <c r="K24" s="148"/>
    </row>
    <row r="25" spans="2:11">
      <c r="B25" s="100" t="s">
        <v>63</v>
      </c>
      <c r="C25" s="178">
        <f>30.9*15.7*12</f>
        <v>5821.5599999999995</v>
      </c>
      <c r="D25" s="181" t="s">
        <v>511</v>
      </c>
      <c r="E25" s="200" t="s">
        <v>99</v>
      </c>
      <c r="I25" s="74" t="s">
        <v>185</v>
      </c>
      <c r="J25" s="74">
        <v>417</v>
      </c>
      <c r="K25" s="74"/>
    </row>
    <row r="26" spans="2:11" ht="25.5">
      <c r="B26" s="100" t="s">
        <v>64</v>
      </c>
      <c r="C26" s="288">
        <f>0.17*(232.8*1.18*6+243.11*1.18*6)</f>
        <v>572.80527600000005</v>
      </c>
      <c r="D26" s="289" t="s">
        <v>512</v>
      </c>
      <c r="E26" s="200" t="s">
        <v>99</v>
      </c>
    </row>
    <row r="27" spans="2:11">
      <c r="B27" s="78" t="s">
        <v>814</v>
      </c>
      <c r="C27" s="98">
        <f>C28+C29</f>
        <v>8025.8399999999992</v>
      </c>
      <c r="D27" s="99"/>
      <c r="E27" s="200"/>
    </row>
    <row r="28" spans="2:11">
      <c r="B28" s="100" t="s">
        <v>63</v>
      </c>
      <c r="C28" s="178">
        <f>42.6*15.7*12</f>
        <v>8025.8399999999992</v>
      </c>
      <c r="D28" s="181" t="s">
        <v>513</v>
      </c>
      <c r="E28" s="200" t="s">
        <v>99</v>
      </c>
    </row>
    <row r="29" spans="2:11" ht="25.5">
      <c r="B29" s="100" t="s">
        <v>64</v>
      </c>
      <c r="C29" s="288">
        <f>0*(232.8*1.18*6+243.11*1.18*6)</f>
        <v>0</v>
      </c>
      <c r="D29" s="289" t="s">
        <v>308</v>
      </c>
      <c r="E29" s="200" t="s">
        <v>99</v>
      </c>
    </row>
    <row r="30" spans="2:11" ht="15.75">
      <c r="B30" s="103" t="s">
        <v>10</v>
      </c>
      <c r="C30" s="65">
        <f>C18+C20</f>
        <v>566597.40409199998</v>
      </c>
      <c r="D30" s="83"/>
      <c r="E30" s="200"/>
    </row>
    <row r="31" spans="2:11">
      <c r="B31" s="104" t="s">
        <v>11</v>
      </c>
      <c r="C31" s="65">
        <f>C32+C33+C34+C35+C36+C37</f>
        <v>5354.76</v>
      </c>
      <c r="D31" s="83"/>
      <c r="E31" s="200"/>
    </row>
    <row r="32" spans="2:11">
      <c r="B32" s="78" t="s">
        <v>12</v>
      </c>
      <c r="C32" s="65">
        <f>34.98*12</f>
        <v>419.76</v>
      </c>
      <c r="D32" s="83" t="s">
        <v>13</v>
      </c>
      <c r="E32" s="200" t="s">
        <v>99</v>
      </c>
    </row>
    <row r="33" spans="2:8">
      <c r="B33" s="78" t="s">
        <v>14</v>
      </c>
      <c r="C33" s="65">
        <f>137.5*12</f>
        <v>1650</v>
      </c>
      <c r="D33" s="83" t="s">
        <v>15</v>
      </c>
      <c r="E33" s="200" t="s">
        <v>99</v>
      </c>
    </row>
    <row r="34" spans="2:8">
      <c r="B34" s="78" t="s">
        <v>16</v>
      </c>
      <c r="C34" s="65">
        <f>123.75*12*0</f>
        <v>0</v>
      </c>
      <c r="D34" s="83" t="s">
        <v>17</v>
      </c>
      <c r="E34" s="200"/>
    </row>
    <row r="35" spans="2:8">
      <c r="B35" s="78" t="s">
        <v>18</v>
      </c>
      <c r="C35" s="65">
        <f>123.75*12</f>
        <v>1485</v>
      </c>
      <c r="D35" s="83" t="s">
        <v>17</v>
      </c>
      <c r="E35" s="200" t="s">
        <v>99</v>
      </c>
    </row>
    <row r="36" spans="2:8">
      <c r="B36" s="78" t="s">
        <v>19</v>
      </c>
      <c r="C36" s="65">
        <f>150*12</f>
        <v>1800</v>
      </c>
      <c r="D36" s="107" t="s">
        <v>20</v>
      </c>
      <c r="E36" s="200" t="s">
        <v>99</v>
      </c>
    </row>
    <row r="37" spans="2:8">
      <c r="B37" s="78" t="s">
        <v>69</v>
      </c>
      <c r="C37" s="65">
        <f>137.5*12*0</f>
        <v>0</v>
      </c>
      <c r="D37" s="107" t="s">
        <v>15</v>
      </c>
      <c r="E37" s="108"/>
    </row>
    <row r="38" spans="2:8">
      <c r="B38" s="104" t="s">
        <v>21</v>
      </c>
      <c r="C38" s="65">
        <v>0</v>
      </c>
      <c r="D38" s="107"/>
      <c r="E38" s="108"/>
      <c r="G38" s="62" t="s">
        <v>22</v>
      </c>
    </row>
    <row r="39" spans="2:8" ht="18.75">
      <c r="B39" s="105" t="s">
        <v>23</v>
      </c>
      <c r="C39" s="106">
        <f>C30+C31+C38</f>
        <v>571952.16409199999</v>
      </c>
      <c r="D39" s="107"/>
      <c r="E39" s="108"/>
    </row>
    <row r="40" spans="2:8" ht="15.75">
      <c r="B40" s="91" t="s">
        <v>24</v>
      </c>
      <c r="C40" s="109" t="s">
        <v>5</v>
      </c>
      <c r="D40" s="110" t="s">
        <v>25</v>
      </c>
      <c r="E40" s="108"/>
    </row>
    <row r="41" spans="2:8" ht="15.75">
      <c r="B41" s="111" t="s">
        <v>26</v>
      </c>
      <c r="C41" s="95"/>
      <c r="D41" s="112"/>
      <c r="E41" s="108"/>
      <c r="H41" s="2"/>
    </row>
    <row r="42" spans="2:8" ht="51">
      <c r="B42" s="113" t="s">
        <v>27</v>
      </c>
      <c r="C42" s="290">
        <f>(0.54*(3565+200)*1.5*1.15*1.083*1.302*3)+(0.54*(3708+200)*1.5*1.15*1.083*1.302*9)+(0.1*1255*12)</f>
        <v>62539.311549693004</v>
      </c>
      <c r="D42" s="291" t="s">
        <v>514</v>
      </c>
      <c r="E42" s="200" t="s">
        <v>100</v>
      </c>
      <c r="H42" s="3"/>
    </row>
    <row r="43" spans="2:8" ht="15.75">
      <c r="B43" s="113" t="s">
        <v>28</v>
      </c>
      <c r="C43" s="183"/>
      <c r="D43" s="184"/>
      <c r="E43" s="200"/>
      <c r="H43" s="3"/>
    </row>
    <row r="44" spans="2:8" ht="15.75">
      <c r="B44" s="113" t="s">
        <v>29</v>
      </c>
      <c r="C44" s="183"/>
      <c r="D44" s="184"/>
      <c r="E44" s="200"/>
      <c r="H44" s="3"/>
    </row>
    <row r="45" spans="2:8" s="7" customFormat="1" ht="51">
      <c r="B45" s="113" t="s">
        <v>30</v>
      </c>
      <c r="C45" s="292">
        <f>135*(360.84*0.025*3+362.52*0.025*3+382.25*0.025*6)</f>
        <v>15064.5825</v>
      </c>
      <c r="D45" s="293" t="s">
        <v>515</v>
      </c>
      <c r="E45" s="199" t="s">
        <v>101</v>
      </c>
      <c r="H45" s="3"/>
    </row>
    <row r="46" spans="2:8" ht="15.75">
      <c r="B46" s="113" t="s">
        <v>31</v>
      </c>
      <c r="C46" s="294">
        <f>(16.86+17.53)*64</f>
        <v>2200.96</v>
      </c>
      <c r="D46" s="295" t="s">
        <v>342</v>
      </c>
      <c r="E46" s="200" t="s">
        <v>102</v>
      </c>
      <c r="H46" s="3"/>
    </row>
    <row r="47" spans="2:8" ht="27.75" customHeight="1">
      <c r="B47" s="113" t="s">
        <v>32</v>
      </c>
      <c r="C47" s="294">
        <f>(49.72+51.71)*2*0</f>
        <v>0</v>
      </c>
      <c r="D47" s="295" t="s">
        <v>317</v>
      </c>
      <c r="E47" s="200"/>
      <c r="H47" s="3"/>
    </row>
    <row r="48" spans="2:8" ht="15.75">
      <c r="B48" s="113" t="s">
        <v>33</v>
      </c>
      <c r="C48" s="185">
        <f>0.26*417*12</f>
        <v>1301.04</v>
      </c>
      <c r="D48" s="155" t="s">
        <v>246</v>
      </c>
      <c r="E48" s="200" t="s">
        <v>99</v>
      </c>
      <c r="H48" s="3"/>
    </row>
    <row r="49" spans="2:8" ht="21" customHeight="1">
      <c r="B49" s="115" t="s">
        <v>34</v>
      </c>
      <c r="C49" s="185">
        <f>1.02*417*4</f>
        <v>1701.3600000000001</v>
      </c>
      <c r="D49" s="155" t="s">
        <v>247</v>
      </c>
      <c r="E49" s="200" t="s">
        <v>103</v>
      </c>
      <c r="H49" s="3"/>
    </row>
    <row r="50" spans="2:8" ht="25.5">
      <c r="B50" s="94" t="s">
        <v>35</v>
      </c>
      <c r="C50" s="296">
        <f>(700.55*6+728.57*6)</f>
        <v>8574.7199999999993</v>
      </c>
      <c r="D50" s="297" t="s">
        <v>320</v>
      </c>
      <c r="E50" s="200" t="s">
        <v>99</v>
      </c>
      <c r="H50" s="3"/>
    </row>
    <row r="51" spans="2:8" ht="25.5">
      <c r="B51" s="94" t="s">
        <v>70</v>
      </c>
      <c r="C51" s="298">
        <f>(695.13*6+722.94*6)*0</f>
        <v>0</v>
      </c>
      <c r="D51" s="297" t="s">
        <v>321</v>
      </c>
      <c r="E51" s="200" t="s">
        <v>99</v>
      </c>
      <c r="H51" s="3"/>
    </row>
    <row r="52" spans="2:8" ht="15.75">
      <c r="B52" s="94" t="s">
        <v>216</v>
      </c>
      <c r="C52" s="323">
        <f>453.19*12</f>
        <v>5438.28</v>
      </c>
      <c r="D52" s="324" t="s">
        <v>248</v>
      </c>
      <c r="E52" s="200" t="s">
        <v>99</v>
      </c>
      <c r="H52" s="3"/>
    </row>
    <row r="53" spans="2:8" ht="15.75" hidden="1">
      <c r="B53" s="94" t="s">
        <v>38</v>
      </c>
      <c r="C53" s="70">
        <f>0*12</f>
        <v>0</v>
      </c>
      <c r="D53" s="187" t="s">
        <v>83</v>
      </c>
      <c r="E53" s="108"/>
      <c r="H53" s="3"/>
    </row>
    <row r="54" spans="2:8" ht="50.25" customHeight="1">
      <c r="B54" s="94" t="s">
        <v>40</v>
      </c>
      <c r="C54" s="299">
        <f>135*(211.42*6*1.45/12+226.93*6*1.45/12)</f>
        <v>42903.506249999999</v>
      </c>
      <c r="D54" s="297" t="s">
        <v>516</v>
      </c>
      <c r="E54" s="200" t="s">
        <v>101</v>
      </c>
      <c r="H54" s="3"/>
    </row>
    <row r="55" spans="2:8" ht="25.5">
      <c r="B55" s="94" t="s">
        <v>41</v>
      </c>
      <c r="C55" s="296">
        <f>0.89*(232.8*6+243.11*6)</f>
        <v>2541.3594000000003</v>
      </c>
      <c r="D55" s="300" t="s">
        <v>815</v>
      </c>
      <c r="E55" s="200" t="s">
        <v>101</v>
      </c>
      <c r="H55" s="3"/>
    </row>
    <row r="56" spans="2:8" ht="15.75">
      <c r="B56" s="116" t="s">
        <v>42</v>
      </c>
      <c r="C56" s="117">
        <f>SUM(C42:C55)</f>
        <v>142265.11969969299</v>
      </c>
      <c r="D56" s="118"/>
      <c r="E56" s="108"/>
    </row>
    <row r="57" spans="2:8">
      <c r="B57" s="113" t="s">
        <v>43</v>
      </c>
      <c r="C57" s="65"/>
      <c r="D57" s="83"/>
      <c r="E57" s="200"/>
    </row>
    <row r="58" spans="2:8" s="8" customFormat="1" ht="51">
      <c r="B58" s="119" t="s">
        <v>44</v>
      </c>
      <c r="C58" s="294">
        <f>(9.4*96.4189*3)+(9.4*100.2864*9)+(1.78*(C14+C15)*12)</f>
        <v>75101.682419999997</v>
      </c>
      <c r="D58" s="301" t="s">
        <v>517</v>
      </c>
      <c r="E58" s="204"/>
    </row>
    <row r="59" spans="2:8">
      <c r="B59" s="115" t="s">
        <v>45</v>
      </c>
      <c r="C59" s="65">
        <f>13.69*1148</f>
        <v>15716.119999999999</v>
      </c>
      <c r="D59" s="83" t="s">
        <v>518</v>
      </c>
      <c r="E59" s="200" t="s">
        <v>104</v>
      </c>
    </row>
    <row r="60" spans="2:8" ht="89.25">
      <c r="B60" s="172" t="s">
        <v>94</v>
      </c>
      <c r="C60" s="70">
        <f>17.51*(C14+C15)</f>
        <v>52381.165000000008</v>
      </c>
      <c r="D60" s="83" t="s">
        <v>519</v>
      </c>
      <c r="E60" s="200"/>
    </row>
    <row r="61" spans="2:8" ht="51">
      <c r="B61" s="113" t="s">
        <v>46</v>
      </c>
      <c r="C61" s="294">
        <f>(632.04+251.07/3)*10055/1000</f>
        <v>7196.6651500000007</v>
      </c>
      <c r="D61" s="301" t="s">
        <v>520</v>
      </c>
      <c r="E61" s="94" t="s">
        <v>105</v>
      </c>
    </row>
    <row r="62" spans="2:8" ht="51">
      <c r="B62" s="121" t="s">
        <v>47</v>
      </c>
      <c r="C62" s="302">
        <f>((393.72/12*3*96.4189)+(393.72/12*9*100.2864))+((393.72/12*3*96.4189)+(393.72/12*9*100.2864))/1.302*25%</f>
        <v>46612.547934267284</v>
      </c>
      <c r="D62" s="301" t="s">
        <v>521</v>
      </c>
      <c r="E62" s="200"/>
    </row>
    <row r="63" spans="2:8" ht="15.75">
      <c r="B63" s="122" t="s">
        <v>48</v>
      </c>
      <c r="C63" s="117">
        <f>C58+C59+C60+C61+C62</f>
        <v>197008.18050426731</v>
      </c>
      <c r="D63" s="118"/>
      <c r="E63" s="200"/>
    </row>
    <row r="64" spans="2:8">
      <c r="B64" s="121" t="s">
        <v>49</v>
      </c>
      <c r="C64" s="65"/>
      <c r="D64" s="83"/>
      <c r="E64" s="200"/>
    </row>
    <row r="65" spans="2:8" s="7" customFormat="1" ht="12.75">
      <c r="B65" s="123" t="s">
        <v>50</v>
      </c>
      <c r="C65" s="124"/>
      <c r="D65" s="125"/>
      <c r="E65" s="199"/>
    </row>
    <row r="66" spans="2:8">
      <c r="B66" s="121" t="s">
        <v>51</v>
      </c>
      <c r="C66" s="95"/>
      <c r="D66" s="126"/>
      <c r="E66" s="200"/>
    </row>
    <row r="67" spans="2:8">
      <c r="B67" s="121" t="s">
        <v>52</v>
      </c>
      <c r="C67" s="95"/>
      <c r="D67" s="126"/>
      <c r="E67" s="200"/>
    </row>
    <row r="68" spans="2:8">
      <c r="B68" s="121" t="s">
        <v>53</v>
      </c>
      <c r="C68" s="95"/>
      <c r="D68" s="126"/>
      <c r="E68" s="200"/>
    </row>
    <row r="69" spans="2:8">
      <c r="B69" s="121" t="s">
        <v>54</v>
      </c>
      <c r="C69" s="95"/>
      <c r="D69" s="126"/>
      <c r="E69" s="200"/>
    </row>
    <row r="70" spans="2:8" ht="15.75">
      <c r="B70" s="122" t="s">
        <v>55</v>
      </c>
      <c r="C70" s="127">
        <f>C65+C66</f>
        <v>0</v>
      </c>
      <c r="D70" s="128"/>
      <c r="E70" s="200"/>
    </row>
    <row r="71" spans="2:8">
      <c r="B71" s="129" t="s">
        <v>56</v>
      </c>
      <c r="C71" s="95">
        <f>3.05*(2583.2+408.3)</f>
        <v>9124.0749999999989</v>
      </c>
      <c r="D71" s="126" t="s">
        <v>522</v>
      </c>
      <c r="E71" s="200"/>
    </row>
    <row r="72" spans="2:8" ht="15.75">
      <c r="B72" s="130" t="s">
        <v>57</v>
      </c>
      <c r="C72" s="131">
        <f>1.49*(2583.2+408.3)</f>
        <v>4457.335</v>
      </c>
      <c r="D72" s="131" t="s">
        <v>842</v>
      </c>
      <c r="E72" s="200"/>
      <c r="H72" s="4"/>
    </row>
    <row r="73" spans="2:8">
      <c r="B73" s="78" t="s">
        <v>58</v>
      </c>
      <c r="C73" s="95">
        <f>(C56+C63)*0.341</f>
        <v>115692.19536955046</v>
      </c>
      <c r="D73" s="126" t="s">
        <v>331</v>
      </c>
      <c r="E73" s="200"/>
    </row>
    <row r="74" spans="2:8" ht="38.25">
      <c r="B74" s="78" t="s">
        <v>95</v>
      </c>
      <c r="C74" s="131">
        <f>(C56+C63+C73)*0.132</f>
        <v>60055.445415703427</v>
      </c>
      <c r="D74" s="126" t="s">
        <v>332</v>
      </c>
      <c r="E74" s="200" t="s">
        <v>99</v>
      </c>
    </row>
    <row r="75" spans="2:8" ht="15.75">
      <c r="B75" s="157" t="s">
        <v>96</v>
      </c>
      <c r="C75" s="127">
        <f>C71+C72+C73+C74</f>
        <v>189329.0507852539</v>
      </c>
      <c r="D75" s="128"/>
      <c r="E75" s="200"/>
    </row>
    <row r="76" spans="2:8">
      <c r="B76" s="78" t="s">
        <v>59</v>
      </c>
      <c r="C76" s="95">
        <f>(C56+C63+C70+C75)*3%</f>
        <v>15858.070529676424</v>
      </c>
      <c r="D76" s="126"/>
      <c r="E76" s="200"/>
    </row>
    <row r="77" spans="2:8" ht="15.75">
      <c r="B77" s="133" t="s">
        <v>23</v>
      </c>
      <c r="C77" s="134">
        <f>C56+C63+C70+C75+C76</f>
        <v>544460.42151889054</v>
      </c>
      <c r="D77" s="135"/>
      <c r="E77" s="200"/>
    </row>
    <row r="78" spans="2:8" ht="15.75">
      <c r="B78" s="133" t="s">
        <v>60</v>
      </c>
      <c r="C78" s="134">
        <f>C77*1.18</f>
        <v>642463.29739229078</v>
      </c>
      <c r="D78" s="135"/>
      <c r="E78" s="108"/>
    </row>
    <row r="79" spans="2:8" ht="15.75">
      <c r="B79" s="136"/>
      <c r="C79" s="137">
        <f>C39-C78</f>
        <v>-70511.133300290792</v>
      </c>
      <c r="D79" s="138"/>
      <c r="E79" s="200"/>
    </row>
    <row r="80" spans="2:8" ht="30">
      <c r="B80" s="159" t="s">
        <v>106</v>
      </c>
      <c r="C80" s="188">
        <f>C78/(C14+C15)/12</f>
        <v>17.896910618761236</v>
      </c>
      <c r="D80" s="189" t="s">
        <v>135</v>
      </c>
      <c r="E80" s="226"/>
    </row>
    <row r="81" spans="2:5">
      <c r="B81" s="161"/>
      <c r="C81" s="190"/>
      <c r="D81" s="191"/>
      <c r="E81" s="205"/>
    </row>
    <row r="82" spans="2:5" ht="15" customHeight="1">
      <c r="B82" s="345" t="s">
        <v>97</v>
      </c>
      <c r="C82" s="345"/>
      <c r="D82" s="345"/>
      <c r="E82" s="303"/>
    </row>
    <row r="83" spans="2:5" ht="32.25" customHeight="1">
      <c r="B83" s="348" t="s">
        <v>334</v>
      </c>
      <c r="C83" s="348"/>
      <c r="D83" s="348"/>
      <c r="E83" s="348"/>
    </row>
    <row r="84" spans="2:5" ht="31.5" customHeight="1">
      <c r="B84" s="348" t="s">
        <v>335</v>
      </c>
      <c r="C84" s="348"/>
      <c r="D84" s="348"/>
      <c r="E84" s="348"/>
    </row>
    <row r="85" spans="2:5" ht="24.75" customHeight="1">
      <c r="B85" s="163"/>
      <c r="C85" s="192"/>
      <c r="D85" s="193"/>
      <c r="E85" s="174"/>
    </row>
    <row r="86" spans="2:5">
      <c r="B86" s="163"/>
      <c r="C86" s="192"/>
      <c r="D86" s="193"/>
      <c r="E86" s="174"/>
    </row>
    <row r="87" spans="2:5">
      <c r="B87" s="164"/>
      <c r="C87" s="194"/>
      <c r="D87" s="195"/>
      <c r="E87" s="174"/>
    </row>
    <row r="88" spans="2:5">
      <c r="B88" s="344" t="s">
        <v>213</v>
      </c>
      <c r="C88" s="344"/>
      <c r="D88" s="344"/>
    </row>
    <row r="98" spans="2:4" s="9" customFormat="1">
      <c r="B98" s="47"/>
      <c r="C98" s="47"/>
      <c r="D98" s="47"/>
    </row>
    <row r="99" spans="2:4" s="9" customFormat="1">
      <c r="B99" s="47"/>
      <c r="C99" s="47"/>
      <c r="D99" s="47"/>
    </row>
    <row r="100" spans="2:4" s="9" customFormat="1">
      <c r="B100" s="47"/>
      <c r="C100" s="47"/>
      <c r="D100" s="47"/>
    </row>
    <row r="101" spans="2:4" s="9" customFormat="1">
      <c r="B101" s="47"/>
      <c r="C101" s="47"/>
      <c r="D101" s="47"/>
    </row>
    <row r="102" spans="2:4" s="9" customFormat="1">
      <c r="B102" s="47"/>
      <c r="C102" s="47"/>
      <c r="D102" s="47"/>
    </row>
    <row r="103" spans="2:4" s="9" customFormat="1">
      <c r="B103" s="47"/>
      <c r="C103" s="47"/>
      <c r="D103" s="47"/>
    </row>
    <row r="104" spans="2:4" s="9" customFormat="1">
      <c r="B104" s="47"/>
      <c r="C104" s="47"/>
      <c r="D104" s="47"/>
    </row>
    <row r="105" spans="2:4" s="9" customFormat="1">
      <c r="B105" s="47"/>
      <c r="C105" s="47"/>
      <c r="D105" s="47"/>
    </row>
  </sheetData>
  <mergeCells count="6">
    <mergeCell ref="B88:D88"/>
    <mergeCell ref="B82:D82"/>
    <mergeCell ref="B10:E10"/>
    <mergeCell ref="B11:E12"/>
    <mergeCell ref="B83:E83"/>
    <mergeCell ref="B84:E8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B3:K98"/>
  <sheetViews>
    <sheetView topLeftCell="A47" workbookViewId="0">
      <selection activeCell="E64" sqref="E64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7109375" style="9" customWidth="1"/>
    <col min="6" max="6" width="4.7109375" style="62" customWidth="1"/>
    <col min="7" max="8" width="9.140625" style="62"/>
    <col min="9" max="9" width="16.4257812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14.28</v>
      </c>
      <c r="K5" s="148" t="s">
        <v>186</v>
      </c>
    </row>
    <row r="6" spans="2:11" ht="15.75">
      <c r="D6" s="176"/>
      <c r="I6" s="147" t="s">
        <v>162</v>
      </c>
      <c r="J6" s="147">
        <v>2597</v>
      </c>
      <c r="K6" s="148"/>
    </row>
    <row r="7" spans="2:11" ht="15.75">
      <c r="D7" s="176" t="s">
        <v>297</v>
      </c>
      <c r="I7" s="147" t="s">
        <v>163</v>
      </c>
      <c r="J7" s="147">
        <v>64</v>
      </c>
      <c r="K7" s="148"/>
    </row>
    <row r="8" spans="2:11" ht="15.75">
      <c r="D8" s="66"/>
      <c r="I8" s="147" t="s">
        <v>164</v>
      </c>
      <c r="J8" s="283">
        <v>142</v>
      </c>
      <c r="K8" s="148"/>
    </row>
    <row r="9" spans="2:11" ht="15.75">
      <c r="D9" s="66"/>
      <c r="I9" s="149" t="s">
        <v>165</v>
      </c>
      <c r="J9" s="147">
        <v>10031</v>
      </c>
      <c r="K9" s="148"/>
    </row>
    <row r="10" spans="2:11" ht="31.5" customHeight="1">
      <c r="B10" s="346" t="s">
        <v>299</v>
      </c>
      <c r="C10" s="346"/>
      <c r="D10" s="346"/>
      <c r="E10" s="346"/>
      <c r="I10" s="147" t="s">
        <v>166</v>
      </c>
      <c r="J10" s="147">
        <v>15</v>
      </c>
      <c r="K10" s="148"/>
    </row>
    <row r="11" spans="2:11" ht="15" customHeight="1">
      <c r="B11" s="347" t="s">
        <v>117</v>
      </c>
      <c r="C11" s="347"/>
      <c r="D11" s="347"/>
      <c r="E11" s="347"/>
      <c r="I11" s="147" t="s">
        <v>167</v>
      </c>
      <c r="J11" s="147">
        <v>1154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2597</v>
      </c>
      <c r="D14" s="77" t="s">
        <v>61</v>
      </c>
      <c r="I14" s="147" t="s">
        <v>170</v>
      </c>
      <c r="J14" s="147">
        <v>967.1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3350.3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395.49866167174503</v>
      </c>
      <c r="K17" s="148"/>
    </row>
    <row r="18" spans="2:11">
      <c r="B18" s="93" t="s">
        <v>7</v>
      </c>
      <c r="C18" s="198">
        <f>C14*14.28*12</f>
        <v>445021.91999999993</v>
      </c>
      <c r="D18" s="155" t="s">
        <v>523</v>
      </c>
      <c r="E18" s="199" t="s">
        <v>99</v>
      </c>
      <c r="I18" s="147" t="s">
        <v>174</v>
      </c>
      <c r="J18" s="147">
        <v>7.84</v>
      </c>
      <c r="K18" s="148"/>
    </row>
    <row r="19" spans="2:11" ht="38.25">
      <c r="B19" s="94" t="s">
        <v>8</v>
      </c>
      <c r="C19" s="286">
        <f>142*(211.42*6*1.45/12+226.93*6*1.45/12)*1.18</f>
        <v>53251.196349999998</v>
      </c>
      <c r="D19" s="287" t="s">
        <v>524</v>
      </c>
      <c r="E19" s="200"/>
      <c r="I19" s="147" t="s">
        <v>175</v>
      </c>
      <c r="J19" s="150">
        <v>0.71</v>
      </c>
      <c r="K19" s="154">
        <f>(J15/3+J14)/2920</f>
        <v>0.71365296803652967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0.44444444444444442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J24/1180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445021.91999999993</v>
      </c>
      <c r="D24" s="83"/>
      <c r="E24" s="200"/>
      <c r="I24" s="148" t="s">
        <v>180</v>
      </c>
      <c r="J24" s="148"/>
      <c r="K24" s="148"/>
    </row>
    <row r="25" spans="2:11">
      <c r="B25" s="104" t="s">
        <v>11</v>
      </c>
      <c r="C25" s="65">
        <f>C26+C27+C28+C29+C30+C31</f>
        <v>6839.76</v>
      </c>
      <c r="D25" s="83"/>
      <c r="E25" s="200"/>
      <c r="I25" s="74" t="s">
        <v>185</v>
      </c>
      <c r="J25" s="74">
        <v>234</v>
      </c>
      <c r="K25" s="74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451861.67999999993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(0.71*(3565+200)*1.5*1.15*1.083*1.302*3)+(0.71*(3708+200)*1.5*1.15*1.083*1.302*9)+(0.1*967.1*12)</f>
        <v>81408.02222274449</v>
      </c>
      <c r="D36" s="291" t="s">
        <v>525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142*(360.84*0.025*3+362.52*0.025*3+382.25*0.025*6)</f>
        <v>15845.709000000001</v>
      </c>
      <c r="D39" s="293" t="s">
        <v>526</v>
      </c>
      <c r="E39" s="199" t="s">
        <v>101</v>
      </c>
      <c r="H39" s="3"/>
    </row>
    <row r="40" spans="2:8" ht="15.75">
      <c r="B40" s="113" t="s">
        <v>31</v>
      </c>
      <c r="C40" s="294">
        <f>(16.86+17.53)*64</f>
        <v>2200.96</v>
      </c>
      <c r="D40" s="295" t="s">
        <v>342</v>
      </c>
      <c r="E40" s="200" t="s">
        <v>102</v>
      </c>
      <c r="H40" s="3"/>
    </row>
    <row r="41" spans="2:8" ht="25.5">
      <c r="B41" s="113" t="s">
        <v>32</v>
      </c>
      <c r="C41" s="294">
        <f>(49.72+51.71)*2*0</f>
        <v>0</v>
      </c>
      <c r="D41" s="295" t="s">
        <v>317</v>
      </c>
      <c r="E41" s="200"/>
      <c r="H41" s="3"/>
    </row>
    <row r="42" spans="2:8" ht="15.75">
      <c r="B42" s="113" t="s">
        <v>33</v>
      </c>
      <c r="C42" s="185">
        <f>0.26*234*12</f>
        <v>730.08</v>
      </c>
      <c r="D42" s="155" t="s">
        <v>249</v>
      </c>
      <c r="E42" s="200" t="s">
        <v>99</v>
      </c>
      <c r="H42" s="3"/>
    </row>
    <row r="43" spans="2:8" ht="15.75">
      <c r="B43" s="115" t="s">
        <v>34</v>
      </c>
      <c r="C43" s="185">
        <f>1.02*234*4</f>
        <v>954.72</v>
      </c>
      <c r="D43" s="155" t="s">
        <v>250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 t="s">
        <v>99</v>
      </c>
      <c r="H45" s="3"/>
    </row>
    <row r="46" spans="2:8" ht="15.75">
      <c r="B46" s="94" t="s">
        <v>216</v>
      </c>
      <c r="C46" s="323">
        <f>450.08*12</f>
        <v>5400.96</v>
      </c>
      <c r="D46" s="324" t="s">
        <v>251</v>
      </c>
      <c r="E46" s="200" t="s">
        <v>99</v>
      </c>
      <c r="H46" s="3"/>
    </row>
    <row r="47" spans="2:8" ht="50.25" customHeight="1">
      <c r="B47" s="94" t="s">
        <v>40</v>
      </c>
      <c r="C47" s="299">
        <f>142*(211.42*6*1.45/12+226.93*6*1.45/12)</f>
        <v>45128.1325</v>
      </c>
      <c r="D47" s="297" t="s">
        <v>527</v>
      </c>
      <c r="E47" s="200" t="s">
        <v>101</v>
      </c>
      <c r="H47" s="3"/>
    </row>
    <row r="48" spans="2:8" ht="25.5">
      <c r="B48" s="94" t="s">
        <v>41</v>
      </c>
      <c r="C48" s="296">
        <f>0*(232.8*6+243.11*6)</f>
        <v>0</v>
      </c>
      <c r="D48" s="300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151668.58372274452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(7.84*96.4189*3)+(7.84*100.2864*9)+(1.78*(C14+C15)*12)</f>
        <v>64815.900911999997</v>
      </c>
      <c r="D51" s="301" t="s">
        <v>528</v>
      </c>
      <c r="E51" s="204"/>
    </row>
    <row r="52" spans="2:5">
      <c r="B52" s="115" t="s">
        <v>45</v>
      </c>
      <c r="C52" s="65">
        <f>13.69*1154</f>
        <v>15798.26</v>
      </c>
      <c r="D52" s="83" t="s">
        <v>529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530</v>
      </c>
      <c r="E53" s="200"/>
    </row>
    <row r="54" spans="2:5" ht="51">
      <c r="B54" s="113" t="s">
        <v>46</v>
      </c>
      <c r="C54" s="294">
        <f>(632.04+251.07/3)*10031/1000</f>
        <v>7179.4876299999996</v>
      </c>
      <c r="D54" s="301" t="s">
        <v>531</v>
      </c>
      <c r="E54" s="94" t="s">
        <v>105</v>
      </c>
    </row>
    <row r="55" spans="2:5" ht="51">
      <c r="B55" s="121" t="s">
        <v>47</v>
      </c>
      <c r="C55" s="302">
        <f>((395.5/12*3*96.4189)+(395.5/12*9*100.2864))+((395.5/12*3*96.4189)+(395.5/12*9*100.2864))/1.302*25%</f>
        <v>46823.282302150539</v>
      </c>
      <c r="D55" s="301" t="s">
        <v>540</v>
      </c>
      <c r="E55" s="200"/>
    </row>
    <row r="56" spans="2:5" ht="15.75">
      <c r="B56" s="122" t="s">
        <v>48</v>
      </c>
      <c r="C56" s="117">
        <f>C51+C52+C53+C54+C55</f>
        <v>134616.93084415054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3.05*(2597+0)</f>
        <v>7920.8499999999995</v>
      </c>
      <c r="D64" s="126" t="s">
        <v>532</v>
      </c>
      <c r="E64" s="200"/>
    </row>
    <row r="65" spans="2:8" ht="15.75">
      <c r="B65" s="130" t="s">
        <v>57</v>
      </c>
      <c r="C65" s="131">
        <f>1.49*(2597+0)</f>
        <v>3869.53</v>
      </c>
      <c r="D65" s="131" t="s">
        <v>843</v>
      </c>
      <c r="E65" s="200"/>
      <c r="H65" s="4"/>
    </row>
    <row r="66" spans="2:8">
      <c r="B66" s="78" t="s">
        <v>58</v>
      </c>
      <c r="C66" s="95">
        <f>(C49+C56)*0.341</f>
        <v>97623.360467311228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50675.971504515233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160089.71197182647</v>
      </c>
      <c r="D68" s="128"/>
      <c r="E68" s="200"/>
    </row>
    <row r="69" spans="2:8">
      <c r="B69" s="78" t="s">
        <v>59</v>
      </c>
      <c r="C69" s="95">
        <f>(C49+C56+C63+C68)*3%</f>
        <v>13391.256796161648</v>
      </c>
      <c r="D69" s="126"/>
      <c r="E69" s="200"/>
    </row>
    <row r="70" spans="2:8" ht="15.75">
      <c r="B70" s="133" t="s">
        <v>23</v>
      </c>
      <c r="C70" s="134">
        <f>C49+C56+C63+C68+C69</f>
        <v>459766.48333488323</v>
      </c>
      <c r="D70" s="135"/>
      <c r="E70" s="200"/>
    </row>
    <row r="71" spans="2:8" ht="15.75">
      <c r="B71" s="133" t="s">
        <v>60</v>
      </c>
      <c r="C71" s="134">
        <f>C70*1.18</f>
        <v>542524.45033516223</v>
      </c>
      <c r="D71" s="135"/>
      <c r="E71" s="108"/>
    </row>
    <row r="72" spans="2:8" ht="15.75">
      <c r="B72" s="136"/>
      <c r="C72" s="137">
        <f>C33-C71</f>
        <v>-90662.770335162291</v>
      </c>
      <c r="D72" s="138"/>
      <c r="E72" s="200"/>
    </row>
    <row r="73" spans="2:8" ht="30">
      <c r="B73" s="159" t="s">
        <v>106</v>
      </c>
      <c r="C73" s="188">
        <f>C71/(C14+C15)/12</f>
        <v>17.408691128711407</v>
      </c>
      <c r="D73" s="189" t="s">
        <v>136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5.25" customHeight="1">
      <c r="B76" s="348" t="s">
        <v>334</v>
      </c>
      <c r="C76" s="348"/>
      <c r="D76" s="348"/>
      <c r="E76" s="348"/>
    </row>
    <row r="77" spans="2:8" ht="33" customHeight="1">
      <c r="B77" s="348" t="s">
        <v>335</v>
      </c>
      <c r="C77" s="348"/>
      <c r="D77" s="348"/>
      <c r="E77" s="348"/>
    </row>
    <row r="78" spans="2:8" ht="1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213</v>
      </c>
      <c r="C81" s="344"/>
      <c r="D81" s="34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K98"/>
  <sheetViews>
    <sheetView topLeftCell="A61" workbookViewId="0">
      <selection activeCell="C51" sqref="C51:C55"/>
    </sheetView>
  </sheetViews>
  <sheetFormatPr defaultRowHeight="15"/>
  <cols>
    <col min="1" max="1" width="4" style="74" customWidth="1"/>
    <col min="2" max="2" width="44.7109375" style="37" customWidth="1"/>
    <col min="3" max="3" width="14.5703125" style="59" customWidth="1"/>
    <col min="4" max="4" width="33.42578125" style="59" customWidth="1"/>
    <col min="5" max="5" width="16.7109375" style="74" customWidth="1"/>
    <col min="6" max="6" width="4" style="74" customWidth="1"/>
    <col min="7" max="8" width="9.140625" style="74"/>
    <col min="9" max="9" width="17.85546875" style="74" customWidth="1"/>
    <col min="10" max="16384" width="9.140625" style="74"/>
  </cols>
  <sheetData>
    <row r="1" spans="1:11">
      <c r="A1" s="9"/>
      <c r="B1" s="47"/>
      <c r="C1" s="47"/>
      <c r="D1" s="47"/>
      <c r="E1" s="9"/>
      <c r="F1" s="9"/>
      <c r="G1" s="9"/>
    </row>
    <row r="2" spans="1:11">
      <c r="A2" s="9"/>
      <c r="B2" s="47"/>
      <c r="C2" s="47"/>
      <c r="D2" s="47"/>
      <c r="E2" s="9"/>
      <c r="F2" s="9"/>
      <c r="G2" s="9"/>
    </row>
    <row r="3" spans="1:11" ht="15.75">
      <c r="A3" s="9"/>
      <c r="B3" s="47"/>
      <c r="C3" s="47"/>
      <c r="D3" s="176" t="s">
        <v>0</v>
      </c>
      <c r="E3" s="9"/>
      <c r="F3" s="9"/>
      <c r="G3" s="9"/>
    </row>
    <row r="4" spans="1:11" ht="15.75">
      <c r="A4" s="9"/>
      <c r="B4" s="47"/>
      <c r="C4" s="47"/>
      <c r="D4" s="176" t="s">
        <v>210</v>
      </c>
      <c r="E4" s="9"/>
      <c r="F4" s="9"/>
      <c r="G4" s="9"/>
    </row>
    <row r="5" spans="1:11" ht="15.75">
      <c r="A5" s="9"/>
      <c r="B5" s="47"/>
      <c r="C5" s="47"/>
      <c r="D5" s="176" t="s">
        <v>1</v>
      </c>
      <c r="E5" s="9"/>
      <c r="F5" s="9"/>
      <c r="G5" s="9"/>
      <c r="I5" s="146" t="s">
        <v>160</v>
      </c>
      <c r="J5" s="283">
        <v>13.69</v>
      </c>
      <c r="K5" s="148" t="s">
        <v>186</v>
      </c>
    </row>
    <row r="6" spans="1:11" ht="15.75">
      <c r="A6" s="9"/>
      <c r="B6" s="47"/>
      <c r="C6" s="47"/>
      <c r="D6" s="176"/>
      <c r="E6" s="9"/>
      <c r="F6" s="9"/>
      <c r="G6" s="9"/>
      <c r="I6" s="147" t="s">
        <v>162</v>
      </c>
      <c r="J6" s="147">
        <v>2563.1999999999998</v>
      </c>
      <c r="K6" s="148"/>
    </row>
    <row r="7" spans="1:11" ht="15.75">
      <c r="A7" s="9"/>
      <c r="B7" s="47"/>
      <c r="C7" s="47"/>
      <c r="D7" s="176" t="s">
        <v>297</v>
      </c>
      <c r="E7" s="9"/>
      <c r="F7" s="9"/>
      <c r="G7" s="9"/>
      <c r="I7" s="147" t="s">
        <v>163</v>
      </c>
      <c r="J7" s="147">
        <v>64</v>
      </c>
      <c r="K7" s="148"/>
    </row>
    <row r="8" spans="1:11" ht="15.75">
      <c r="A8" s="9"/>
      <c r="B8" s="47"/>
      <c r="C8" s="47"/>
      <c r="D8" s="66"/>
      <c r="E8" s="9"/>
      <c r="F8" s="9"/>
      <c r="G8" s="9"/>
      <c r="I8" s="147" t="s">
        <v>164</v>
      </c>
      <c r="J8" s="283">
        <v>141</v>
      </c>
      <c r="K8" s="148"/>
    </row>
    <row r="9" spans="1:11" ht="15.75">
      <c r="A9" s="9"/>
      <c r="B9" s="47"/>
      <c r="C9" s="47"/>
      <c r="D9" s="66"/>
      <c r="E9" s="9"/>
      <c r="F9" s="9"/>
      <c r="G9" s="9"/>
      <c r="I9" s="149" t="s">
        <v>165</v>
      </c>
      <c r="J9" s="147">
        <v>9868</v>
      </c>
      <c r="K9" s="148"/>
    </row>
    <row r="10" spans="1:11" ht="31.5" customHeight="1">
      <c r="A10" s="9"/>
      <c r="B10" s="346" t="s">
        <v>299</v>
      </c>
      <c r="C10" s="346"/>
      <c r="D10" s="346"/>
      <c r="E10" s="346"/>
      <c r="F10" s="9"/>
      <c r="G10" s="9"/>
      <c r="I10" s="147" t="s">
        <v>166</v>
      </c>
      <c r="J10" s="147">
        <v>15</v>
      </c>
      <c r="K10" s="148"/>
    </row>
    <row r="11" spans="1:11" ht="15" customHeight="1">
      <c r="A11" s="9"/>
      <c r="B11" s="347" t="s">
        <v>118</v>
      </c>
      <c r="C11" s="347"/>
      <c r="D11" s="347"/>
      <c r="E11" s="347"/>
      <c r="F11" s="9"/>
      <c r="G11" s="9"/>
      <c r="I11" s="147" t="s">
        <v>167</v>
      </c>
      <c r="J11" s="147">
        <v>1147</v>
      </c>
      <c r="K11" s="148"/>
    </row>
    <row r="12" spans="1:11" ht="15" customHeight="1">
      <c r="A12" s="9"/>
      <c r="B12" s="347"/>
      <c r="C12" s="347"/>
      <c r="D12" s="347"/>
      <c r="E12" s="347"/>
      <c r="F12" s="9"/>
      <c r="G12" s="9"/>
      <c r="I12" s="147" t="s">
        <v>168</v>
      </c>
      <c r="J12" s="147">
        <v>0</v>
      </c>
      <c r="K12" s="148"/>
    </row>
    <row r="13" spans="1:11" ht="15.75">
      <c r="A13" s="9"/>
      <c r="B13" s="208"/>
      <c r="C13" s="208"/>
      <c r="D13" s="208"/>
      <c r="E13" s="9"/>
      <c r="F13" s="9"/>
      <c r="G13" s="9"/>
      <c r="I13" s="147" t="s">
        <v>169</v>
      </c>
      <c r="J13" s="147">
        <v>0</v>
      </c>
      <c r="K13" s="148"/>
    </row>
    <row r="14" spans="1:11" ht="15.75">
      <c r="A14" s="9"/>
      <c r="B14" s="84" t="s">
        <v>2</v>
      </c>
      <c r="C14" s="85">
        <v>2563.1999999999998</v>
      </c>
      <c r="D14" s="77" t="s">
        <v>61</v>
      </c>
      <c r="E14" s="9"/>
      <c r="F14" s="9"/>
      <c r="G14" s="9"/>
      <c r="I14" s="147" t="s">
        <v>170</v>
      </c>
      <c r="J14" s="147">
        <v>907</v>
      </c>
      <c r="K14" s="148"/>
    </row>
    <row r="15" spans="1:11" s="6" customFormat="1" ht="15.75">
      <c r="A15" s="89"/>
      <c r="B15" s="86" t="s">
        <v>3</v>
      </c>
      <c r="C15" s="87">
        <v>0</v>
      </c>
      <c r="D15" s="88"/>
      <c r="E15" s="89"/>
      <c r="F15" s="89"/>
      <c r="G15" s="89"/>
      <c r="I15" s="147" t="s">
        <v>171</v>
      </c>
      <c r="J15" s="6">
        <v>1032.9000000000001</v>
      </c>
      <c r="K15" s="148"/>
    </row>
    <row r="16" spans="1:11" s="6" customFormat="1" ht="15.75">
      <c r="A16" s="89"/>
      <c r="B16" s="86"/>
      <c r="C16" s="87"/>
      <c r="D16" s="88"/>
      <c r="E16" s="89"/>
      <c r="F16" s="89"/>
      <c r="G16" s="89"/>
      <c r="I16" s="147" t="s">
        <v>172</v>
      </c>
      <c r="J16" s="147">
        <v>0</v>
      </c>
      <c r="K16" s="148"/>
    </row>
    <row r="17" spans="1:11" ht="31.5">
      <c r="A17" s="9"/>
      <c r="B17" s="90" t="s">
        <v>4</v>
      </c>
      <c r="C17" s="91" t="s">
        <v>5</v>
      </c>
      <c r="D17" s="92" t="s">
        <v>6</v>
      </c>
      <c r="E17" s="197" t="s">
        <v>98</v>
      </c>
      <c r="F17" s="9"/>
      <c r="G17" s="9"/>
      <c r="I17" s="147" t="s">
        <v>173</v>
      </c>
      <c r="J17" s="284">
        <v>393.24001912519498</v>
      </c>
      <c r="K17" s="148"/>
    </row>
    <row r="18" spans="1:11">
      <c r="A18" s="9"/>
      <c r="B18" s="93" t="s">
        <v>7</v>
      </c>
      <c r="C18" s="198">
        <f>C14*13.69*12</f>
        <v>421082.49599999998</v>
      </c>
      <c r="D18" s="155" t="s">
        <v>533</v>
      </c>
      <c r="E18" s="199" t="s">
        <v>99</v>
      </c>
      <c r="F18" s="9"/>
      <c r="G18" s="9"/>
      <c r="I18" s="147" t="s">
        <v>174</v>
      </c>
      <c r="J18" s="147">
        <v>7.8</v>
      </c>
      <c r="K18" s="148"/>
    </row>
    <row r="19" spans="1:11" ht="43.5" customHeight="1">
      <c r="A19" s="9"/>
      <c r="B19" s="94" t="s">
        <v>8</v>
      </c>
      <c r="C19" s="286">
        <f>141*(211.42*6*1.45/12+226.93*6*1.45/12)*1.18</f>
        <v>52876.187924999998</v>
      </c>
      <c r="D19" s="287" t="s">
        <v>534</v>
      </c>
      <c r="E19" s="200"/>
      <c r="F19" s="9"/>
      <c r="G19" s="9"/>
      <c r="I19" s="147" t="s">
        <v>175</v>
      </c>
      <c r="J19" s="150">
        <v>0.43</v>
      </c>
      <c r="K19" s="154">
        <f>(J15/3+J14)/2920</f>
        <v>0.42852739726027395</v>
      </c>
    </row>
    <row r="20" spans="1:11">
      <c r="B20" s="76" t="s">
        <v>9</v>
      </c>
      <c r="C20" s="21">
        <f>C21</f>
        <v>0</v>
      </c>
      <c r="D20" s="29"/>
      <c r="E20" s="82"/>
      <c r="I20" s="151" t="s">
        <v>176</v>
      </c>
      <c r="J20" s="151"/>
      <c r="K20" s="154">
        <f>J7/144</f>
        <v>0.44444444444444442</v>
      </c>
    </row>
    <row r="21" spans="1:11">
      <c r="B21" s="38"/>
      <c r="C21" s="61"/>
      <c r="D21" s="33"/>
      <c r="E21" s="82"/>
      <c r="I21" s="152" t="s">
        <v>177</v>
      </c>
      <c r="J21" s="153"/>
      <c r="K21" s="154">
        <f>J24/1180</f>
        <v>0</v>
      </c>
    </row>
    <row r="22" spans="1:11">
      <c r="B22" s="39"/>
      <c r="C22" s="58"/>
      <c r="D22" s="32"/>
      <c r="E22" s="82"/>
      <c r="I22" s="74" t="s">
        <v>178</v>
      </c>
      <c r="J22" s="74">
        <v>1.45</v>
      </c>
      <c r="K22" s="148"/>
    </row>
    <row r="23" spans="1:11">
      <c r="B23" s="39"/>
      <c r="C23" s="56"/>
      <c r="D23" s="31"/>
      <c r="E23" s="82"/>
      <c r="I23" s="74" t="s">
        <v>179</v>
      </c>
      <c r="K23" s="148"/>
    </row>
    <row r="24" spans="1:11" ht="15.75">
      <c r="B24" s="48" t="s">
        <v>10</v>
      </c>
      <c r="C24" s="26">
        <f>C18+C20</f>
        <v>421082.49599999998</v>
      </c>
      <c r="D24" s="67"/>
      <c r="E24" s="82"/>
      <c r="I24" s="148" t="s">
        <v>180</v>
      </c>
      <c r="J24" s="148"/>
      <c r="K24" s="148"/>
    </row>
    <row r="25" spans="1:11">
      <c r="B25" s="40" t="s">
        <v>11</v>
      </c>
      <c r="C25" s="26">
        <f>C26+C27+C28+C29+C30+C31</f>
        <v>6839.76</v>
      </c>
      <c r="D25" s="67"/>
      <c r="E25" s="82"/>
      <c r="I25" s="74" t="s">
        <v>185</v>
      </c>
      <c r="J25" s="74">
        <v>221</v>
      </c>
    </row>
    <row r="26" spans="1:11">
      <c r="B26" s="38" t="s">
        <v>12</v>
      </c>
      <c r="C26" s="26">
        <f>34.98*12</f>
        <v>419.76</v>
      </c>
      <c r="D26" s="67" t="s">
        <v>13</v>
      </c>
      <c r="E26" s="82" t="s">
        <v>99</v>
      </c>
    </row>
    <row r="27" spans="1:11">
      <c r="B27" s="38" t="s">
        <v>14</v>
      </c>
      <c r="C27" s="26">
        <f>137.5*12</f>
        <v>1650</v>
      </c>
      <c r="D27" s="67" t="s">
        <v>15</v>
      </c>
      <c r="E27" s="82" t="s">
        <v>99</v>
      </c>
    </row>
    <row r="28" spans="1:11">
      <c r="B28" s="38" t="s">
        <v>16</v>
      </c>
      <c r="C28" s="26">
        <f>123.75*12</f>
        <v>1485</v>
      </c>
      <c r="D28" s="67" t="s">
        <v>17</v>
      </c>
      <c r="E28" s="82" t="s">
        <v>99</v>
      </c>
    </row>
    <row r="29" spans="1:11">
      <c r="B29" s="38" t="s">
        <v>18</v>
      </c>
      <c r="C29" s="26">
        <f>123.75*12</f>
        <v>1485</v>
      </c>
      <c r="D29" s="67" t="s">
        <v>17</v>
      </c>
      <c r="E29" s="82" t="s">
        <v>99</v>
      </c>
    </row>
    <row r="30" spans="1:11">
      <c r="B30" s="38" t="s">
        <v>19</v>
      </c>
      <c r="C30" s="26">
        <f>150*12</f>
        <v>1800</v>
      </c>
      <c r="D30" s="67" t="s">
        <v>20</v>
      </c>
      <c r="E30" s="82" t="s">
        <v>99</v>
      </c>
    </row>
    <row r="31" spans="1:11">
      <c r="B31" s="38" t="s">
        <v>69</v>
      </c>
      <c r="C31" s="26">
        <f>137.5*12*0</f>
        <v>0</v>
      </c>
      <c r="D31" s="67" t="s">
        <v>15</v>
      </c>
      <c r="E31" s="82"/>
    </row>
    <row r="32" spans="1:11">
      <c r="B32" s="40" t="s">
        <v>21</v>
      </c>
      <c r="C32" s="26">
        <v>0</v>
      </c>
      <c r="D32" s="67"/>
      <c r="E32" s="82"/>
    </row>
    <row r="33" spans="2:8" ht="18.75">
      <c r="B33" s="49" t="s">
        <v>23</v>
      </c>
      <c r="C33" s="55">
        <f>C24+C25+C32</f>
        <v>427922.25599999999</v>
      </c>
      <c r="D33" s="67"/>
      <c r="E33" s="75"/>
    </row>
    <row r="34" spans="2:8" ht="15.75">
      <c r="B34" s="34" t="s">
        <v>24</v>
      </c>
      <c r="C34" s="30" t="s">
        <v>5</v>
      </c>
      <c r="D34" s="1" t="s">
        <v>25</v>
      </c>
      <c r="E34" s="82"/>
    </row>
    <row r="35" spans="2:8" ht="15.75">
      <c r="B35" s="36" t="s">
        <v>26</v>
      </c>
      <c r="C35" s="21"/>
      <c r="D35" s="52"/>
      <c r="E35" s="82"/>
      <c r="H35" s="2"/>
    </row>
    <row r="36" spans="2:8" ht="51">
      <c r="B36" s="41" t="s">
        <v>27</v>
      </c>
      <c r="C36" s="290">
        <f>(0.43*(3565+200)*1.5*1.15*1.083*1.302*3)+(0.43*(3708+200)*1.5*1.15*1.083*1.302*9)+(0.1*907*12)</f>
        <v>49688.999937718494</v>
      </c>
      <c r="D36" s="291" t="s">
        <v>535</v>
      </c>
      <c r="E36" s="82" t="s">
        <v>100</v>
      </c>
      <c r="H36" s="68"/>
    </row>
    <row r="37" spans="2:8" ht="15.75">
      <c r="B37" s="41" t="s">
        <v>28</v>
      </c>
      <c r="C37" s="183"/>
      <c r="D37" s="184"/>
      <c r="E37" s="82"/>
      <c r="H37" s="68"/>
    </row>
    <row r="38" spans="2:8" ht="15.75">
      <c r="B38" s="41" t="s">
        <v>29</v>
      </c>
      <c r="C38" s="183"/>
      <c r="D38" s="184"/>
      <c r="E38" s="82"/>
      <c r="H38" s="68"/>
    </row>
    <row r="39" spans="2:8" s="7" customFormat="1" ht="51">
      <c r="B39" s="41" t="s">
        <v>30</v>
      </c>
      <c r="C39" s="292">
        <f>141*(360.84*0.025*3+362.52*0.025*3+382.25*0.025*6)</f>
        <v>15734.119500000001</v>
      </c>
      <c r="D39" s="293" t="s">
        <v>536</v>
      </c>
      <c r="E39" s="11" t="s">
        <v>101</v>
      </c>
      <c r="H39" s="68"/>
    </row>
    <row r="40" spans="2:8" ht="15.75">
      <c r="B40" s="41" t="s">
        <v>31</v>
      </c>
      <c r="C40" s="294">
        <f>(16.86+17.53)*64</f>
        <v>2200.96</v>
      </c>
      <c r="D40" s="295" t="s">
        <v>342</v>
      </c>
      <c r="E40" s="82" t="s">
        <v>102</v>
      </c>
      <c r="H40" s="68"/>
    </row>
    <row r="41" spans="2:8" ht="25.5">
      <c r="B41" s="41" t="s">
        <v>32</v>
      </c>
      <c r="C41" s="294">
        <f>(49.72+51.71)*2*0</f>
        <v>0</v>
      </c>
      <c r="D41" s="295" t="s">
        <v>317</v>
      </c>
      <c r="E41" s="82"/>
      <c r="H41" s="68"/>
    </row>
    <row r="42" spans="2:8" ht="15.75">
      <c r="B42" s="41" t="s">
        <v>33</v>
      </c>
      <c r="C42" s="185">
        <f>0.26*221*12</f>
        <v>689.52</v>
      </c>
      <c r="D42" s="155" t="s">
        <v>217</v>
      </c>
      <c r="E42" s="82" t="s">
        <v>99</v>
      </c>
      <c r="H42" s="68"/>
    </row>
    <row r="43" spans="2:8" ht="15.75">
      <c r="B43" s="42" t="s">
        <v>34</v>
      </c>
      <c r="C43" s="185">
        <f>1.02*221*4</f>
        <v>901.68000000000006</v>
      </c>
      <c r="D43" s="155" t="s">
        <v>218</v>
      </c>
      <c r="E43" s="82" t="s">
        <v>103</v>
      </c>
      <c r="H43" s="68"/>
    </row>
    <row r="44" spans="2:8" ht="25.5">
      <c r="B44" s="35" t="s">
        <v>35</v>
      </c>
      <c r="C44" s="296">
        <f>(700.55*6+728.57*6)</f>
        <v>8574.7199999999993</v>
      </c>
      <c r="D44" s="297" t="s">
        <v>320</v>
      </c>
      <c r="E44" s="82" t="s">
        <v>99</v>
      </c>
      <c r="H44" s="68"/>
    </row>
    <row r="45" spans="2:8" ht="25.5">
      <c r="B45" s="35" t="s">
        <v>70</v>
      </c>
      <c r="C45" s="298">
        <f>(695.13*6+722.94*6)*0</f>
        <v>0</v>
      </c>
      <c r="D45" s="297" t="s">
        <v>321</v>
      </c>
      <c r="E45" s="82"/>
      <c r="H45" s="68"/>
    </row>
    <row r="46" spans="2:8" ht="15.75" hidden="1">
      <c r="B46" s="35" t="s">
        <v>38</v>
      </c>
      <c r="C46" s="70">
        <f>0*2*12</f>
        <v>0</v>
      </c>
      <c r="D46" s="69" t="s">
        <v>39</v>
      </c>
      <c r="E46" s="82"/>
      <c r="H46" s="68"/>
    </row>
    <row r="47" spans="2:8" ht="50.25" customHeight="1">
      <c r="B47" s="35" t="s">
        <v>40</v>
      </c>
      <c r="C47" s="299">
        <f>141*(211.42*6*1.45/12+226.93*6*1.45/12)</f>
        <v>44810.328750000001</v>
      </c>
      <c r="D47" s="297" t="s">
        <v>537</v>
      </c>
      <c r="E47" s="82" t="s">
        <v>101</v>
      </c>
      <c r="H47" s="68"/>
    </row>
    <row r="48" spans="2:8" ht="25.5">
      <c r="B48" s="35" t="s">
        <v>41</v>
      </c>
      <c r="C48" s="296">
        <f>0*(232.8*6+243.11*6)</f>
        <v>0</v>
      </c>
      <c r="D48" s="300" t="s">
        <v>393</v>
      </c>
      <c r="E48" s="82" t="s">
        <v>101</v>
      </c>
      <c r="H48" s="68"/>
    </row>
    <row r="49" spans="2:5" ht="15.75">
      <c r="B49" s="50" t="s">
        <v>42</v>
      </c>
      <c r="C49" s="28">
        <f>C36+C37+C38+C39+C40+C41+C42+C43+C44+C45+C46+C47+C48</f>
        <v>122600.32818771849</v>
      </c>
      <c r="D49" s="27"/>
      <c r="E49" s="75"/>
    </row>
    <row r="50" spans="2:5">
      <c r="B50" s="41" t="s">
        <v>43</v>
      </c>
      <c r="C50" s="26"/>
      <c r="D50" s="67"/>
      <c r="E50" s="82"/>
    </row>
    <row r="51" spans="2:5" s="8" customFormat="1" ht="51">
      <c r="B51" s="51" t="s">
        <v>44</v>
      </c>
      <c r="C51" s="294">
        <f>(7.8*96.4189*3)+(7.8*100.2864*9)+(1.78*(C14+C15)*12)</f>
        <v>64046.259540000006</v>
      </c>
      <c r="D51" s="301" t="s">
        <v>538</v>
      </c>
      <c r="E51" s="15"/>
    </row>
    <row r="52" spans="2:5">
      <c r="B52" s="42" t="s">
        <v>45</v>
      </c>
      <c r="C52" s="26">
        <f>13.69*1147</f>
        <v>15702.43</v>
      </c>
      <c r="D52" s="79" t="s">
        <v>348</v>
      </c>
      <c r="E52" s="82" t="s">
        <v>104</v>
      </c>
    </row>
    <row r="53" spans="2:5" ht="89.25">
      <c r="B53" s="60" t="s">
        <v>94</v>
      </c>
      <c r="C53" s="71">
        <f>17.51*(C14+C15)</f>
        <v>44881.631999999998</v>
      </c>
      <c r="D53" s="67" t="s">
        <v>539</v>
      </c>
      <c r="E53" s="82"/>
    </row>
    <row r="54" spans="2:5" ht="51">
      <c r="B54" s="41" t="s">
        <v>46</v>
      </c>
      <c r="C54" s="294">
        <f>(632.04+251.07/3)*6898/1000</f>
        <v>4937.1055400000005</v>
      </c>
      <c r="D54" s="301" t="s">
        <v>541</v>
      </c>
      <c r="E54" s="81" t="s">
        <v>105</v>
      </c>
    </row>
    <row r="55" spans="2:5" ht="51">
      <c r="B55" s="52" t="s">
        <v>47</v>
      </c>
      <c r="C55" s="302">
        <f>((393.24/12*3*96.4189)+(393.24/12*9*100.2864))+((393.24/12*3*96.4189)+(393.24/12*9*100.2864))/1.302*25%</f>
        <v>46555.720688995389</v>
      </c>
      <c r="D55" s="301" t="s">
        <v>542</v>
      </c>
      <c r="E55" s="82"/>
    </row>
    <row r="56" spans="2:5" ht="15.75">
      <c r="B56" s="53" t="s">
        <v>48</v>
      </c>
      <c r="C56" s="28">
        <f>C51+C52+C53+C54+C55</f>
        <v>176123.1477689954</v>
      </c>
      <c r="D56" s="27"/>
      <c r="E56" s="82"/>
    </row>
    <row r="57" spans="2:5">
      <c r="B57" s="52" t="s">
        <v>49</v>
      </c>
      <c r="C57" s="26"/>
      <c r="D57" s="67"/>
      <c r="E57" s="82"/>
    </row>
    <row r="58" spans="2:5" s="7" customFormat="1" ht="12.75">
      <c r="B58" s="54" t="s">
        <v>50</v>
      </c>
      <c r="C58" s="25"/>
      <c r="D58" s="24"/>
      <c r="E58" s="11"/>
    </row>
    <row r="59" spans="2:5">
      <c r="B59" s="52" t="s">
        <v>51</v>
      </c>
      <c r="C59" s="21"/>
      <c r="D59" s="72"/>
      <c r="E59" s="82"/>
    </row>
    <row r="60" spans="2:5">
      <c r="B60" s="52" t="s">
        <v>52</v>
      </c>
      <c r="C60" s="21"/>
      <c r="D60" s="72"/>
      <c r="E60" s="82"/>
    </row>
    <row r="61" spans="2:5">
      <c r="B61" s="52" t="s">
        <v>53</v>
      </c>
      <c r="C61" s="21"/>
      <c r="D61" s="72"/>
      <c r="E61" s="82"/>
    </row>
    <row r="62" spans="2:5">
      <c r="B62" s="52" t="s">
        <v>54</v>
      </c>
      <c r="C62" s="21"/>
      <c r="D62" s="72"/>
      <c r="E62" s="82"/>
    </row>
    <row r="63" spans="2:5" ht="15.75">
      <c r="B63" s="53" t="s">
        <v>55</v>
      </c>
      <c r="C63" s="23">
        <f>C58+C59</f>
        <v>0</v>
      </c>
      <c r="D63" s="22"/>
      <c r="E63" s="82"/>
    </row>
    <row r="64" spans="2:5">
      <c r="B64" s="43" t="s">
        <v>56</v>
      </c>
      <c r="C64" s="21">
        <f>3.05*(2563.2+0)</f>
        <v>7817.7599999999993</v>
      </c>
      <c r="D64" s="72" t="s">
        <v>543</v>
      </c>
      <c r="E64" s="82"/>
    </row>
    <row r="65" spans="2:8" ht="15.75">
      <c r="B65" s="44" t="s">
        <v>57</v>
      </c>
      <c r="C65" s="73">
        <f>1.49*(2563.2+0)</f>
        <v>3819.1679999999997</v>
      </c>
      <c r="D65" s="73" t="s">
        <v>844</v>
      </c>
      <c r="E65" s="82"/>
      <c r="H65" s="4"/>
    </row>
    <row r="66" spans="2:8">
      <c r="B66" s="38" t="s">
        <v>58</v>
      </c>
      <c r="C66" s="21">
        <f>(C49+C56)*0.341</f>
        <v>101864.70530123945</v>
      </c>
      <c r="D66" s="211" t="s">
        <v>331</v>
      </c>
      <c r="E66" s="82"/>
    </row>
    <row r="67" spans="2:8" ht="38.25">
      <c r="B67" s="78" t="s">
        <v>95</v>
      </c>
      <c r="C67" s="73">
        <f>(C49+C56+C66)*0.132</f>
        <v>52877.639926049844</v>
      </c>
      <c r="D67" s="212" t="s">
        <v>544</v>
      </c>
      <c r="E67" s="82" t="s">
        <v>99</v>
      </c>
    </row>
    <row r="68" spans="2:8" ht="15.75">
      <c r="B68" s="57" t="s">
        <v>96</v>
      </c>
      <c r="C68" s="23">
        <f>C64+C65+C66+C67</f>
        <v>166379.27322728929</v>
      </c>
      <c r="D68" s="22"/>
      <c r="E68" s="82"/>
    </row>
    <row r="69" spans="2:8">
      <c r="B69" s="38" t="s">
        <v>59</v>
      </c>
      <c r="C69" s="21">
        <f>(C49+C56+C63+C68)*3%</f>
        <v>13953.082475520096</v>
      </c>
      <c r="D69" s="72"/>
      <c r="E69" s="82"/>
    </row>
    <row r="70" spans="2:8" ht="15.75">
      <c r="B70" s="45" t="s">
        <v>23</v>
      </c>
      <c r="C70" s="20">
        <f>C49+C56+C63+C68+C69</f>
        <v>479055.8316595233</v>
      </c>
      <c r="D70" s="19"/>
      <c r="E70" s="82"/>
    </row>
    <row r="71" spans="2:8" ht="15.75">
      <c r="B71" s="45" t="s">
        <v>60</v>
      </c>
      <c r="C71" s="20">
        <f>C70*1.18</f>
        <v>565285.88135823747</v>
      </c>
      <c r="D71" s="19"/>
      <c r="E71" s="75"/>
    </row>
    <row r="72" spans="2:8" ht="15.75">
      <c r="B72" s="46"/>
      <c r="C72" s="18">
        <f>C33-C71</f>
        <v>-137363.62535823748</v>
      </c>
      <c r="D72" s="17"/>
      <c r="E72" s="82"/>
    </row>
    <row r="73" spans="2:8" ht="30">
      <c r="B73" s="64" t="s">
        <v>106</v>
      </c>
      <c r="C73" s="63">
        <f>C71/(C14+C15)/12</f>
        <v>18.378260291765422</v>
      </c>
      <c r="D73" s="80" t="s">
        <v>137</v>
      </c>
      <c r="E73" s="75"/>
    </row>
    <row r="74" spans="2:8">
      <c r="B74" s="10"/>
      <c r="C74" s="13"/>
      <c r="D74" s="14"/>
      <c r="E74" s="12"/>
    </row>
    <row r="75" spans="2:8" ht="15" customHeight="1">
      <c r="B75" s="345" t="s">
        <v>97</v>
      </c>
      <c r="C75" s="345"/>
      <c r="D75" s="345"/>
      <c r="E75" s="303"/>
    </row>
    <row r="76" spans="2:8" ht="27.75" customHeight="1">
      <c r="B76" s="348" t="s">
        <v>334</v>
      </c>
      <c r="C76" s="348"/>
      <c r="D76" s="348"/>
      <c r="E76" s="348"/>
    </row>
    <row r="77" spans="2:8" ht="25.5" customHeight="1">
      <c r="B77" s="348" t="s">
        <v>335</v>
      </c>
      <c r="C77" s="348"/>
      <c r="D77" s="348"/>
      <c r="E77" s="348"/>
    </row>
    <row r="78" spans="2:8" ht="24" customHeight="1">
      <c r="B78" s="163"/>
      <c r="C78" s="192"/>
      <c r="D78" s="193"/>
      <c r="E78" s="16"/>
    </row>
    <row r="79" spans="2:8">
      <c r="B79" s="163"/>
      <c r="C79" s="192"/>
      <c r="D79" s="193"/>
      <c r="E79" s="16"/>
    </row>
    <row r="80" spans="2:8" s="9" customFormat="1">
      <c r="B80" s="164"/>
      <c r="C80" s="194"/>
      <c r="D80" s="195"/>
      <c r="E80" s="174"/>
    </row>
    <row r="81" spans="2:4" s="9" customFormat="1">
      <c r="B81" s="344" t="s">
        <v>213</v>
      </c>
      <c r="C81" s="344"/>
      <c r="D81" s="344"/>
    </row>
    <row r="82" spans="2:4" s="9" customFormat="1">
      <c r="B82" s="47"/>
      <c r="C82" s="47"/>
      <c r="D82" s="47"/>
    </row>
    <row r="83" spans="2:4" s="9" customFormat="1">
      <c r="B83" s="47"/>
      <c r="C83" s="47"/>
      <c r="D83" s="47"/>
    </row>
    <row r="84" spans="2:4" s="9" customFormat="1">
      <c r="B84" s="47"/>
      <c r="C84" s="47"/>
      <c r="D84" s="47"/>
    </row>
    <row r="85" spans="2:4" s="9" customFormat="1">
      <c r="B85" s="47"/>
      <c r="C85" s="47"/>
      <c r="D85" s="47"/>
    </row>
    <row r="86" spans="2:4" s="9" customFormat="1">
      <c r="B86" s="47"/>
      <c r="C86" s="47"/>
      <c r="D86" s="47"/>
    </row>
    <row r="87" spans="2:4" s="9" customFormat="1">
      <c r="B87" s="47"/>
      <c r="C87" s="47"/>
      <c r="D87" s="47"/>
    </row>
    <row r="88" spans="2:4" s="9" customFormat="1">
      <c r="B88" s="47"/>
      <c r="C88" s="47"/>
      <c r="D88" s="47"/>
    </row>
    <row r="89" spans="2:4" s="9" customFormat="1">
      <c r="B89" s="47"/>
      <c r="C89" s="47"/>
      <c r="D89" s="47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35433070866141736" right="0.27559055118110237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B1:K96"/>
  <sheetViews>
    <sheetView topLeftCell="A49" workbookViewId="0">
      <selection activeCell="C51" sqref="C51:C55"/>
    </sheetView>
  </sheetViews>
  <sheetFormatPr defaultColWidth="8.85546875" defaultRowHeight="15"/>
  <cols>
    <col min="1" max="1" width="2" style="5" customWidth="1"/>
    <col min="2" max="2" width="42" style="47" customWidth="1"/>
    <col min="3" max="3" width="14.5703125" style="47" customWidth="1"/>
    <col min="4" max="4" width="33.42578125" style="47" customWidth="1"/>
    <col min="5" max="5" width="16.28515625" style="9" customWidth="1"/>
    <col min="6" max="6" width="4.5703125" style="5" customWidth="1"/>
    <col min="7" max="7" width="10.7109375" style="5" customWidth="1"/>
    <col min="8" max="8" width="8.85546875" style="5"/>
    <col min="9" max="9" width="16.28515625" style="5" customWidth="1"/>
    <col min="10" max="16384" width="8.85546875" style="5"/>
  </cols>
  <sheetData>
    <row r="1" spans="2:11" ht="4.9000000000000004" customHeight="1"/>
    <row r="2" spans="2:11" ht="3" customHeight="1"/>
    <row r="3" spans="2:11" ht="13.15" customHeight="1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14.28</v>
      </c>
      <c r="K5" s="148" t="s">
        <v>186</v>
      </c>
    </row>
    <row r="6" spans="2:11" ht="17.25" customHeight="1">
      <c r="D6" s="176"/>
      <c r="I6" s="147" t="s">
        <v>162</v>
      </c>
      <c r="J6" s="147">
        <v>3186.6</v>
      </c>
      <c r="K6" s="148"/>
    </row>
    <row r="7" spans="2:11" ht="12.6" customHeight="1">
      <c r="D7" s="176" t="s">
        <v>297</v>
      </c>
      <c r="I7" s="147" t="s">
        <v>163</v>
      </c>
      <c r="J7" s="147">
        <v>80</v>
      </c>
      <c r="K7" s="148"/>
    </row>
    <row r="8" spans="2:11" ht="12" customHeight="1">
      <c r="D8" s="66"/>
      <c r="I8" s="147" t="s">
        <v>164</v>
      </c>
      <c r="J8" s="283">
        <v>166</v>
      </c>
      <c r="K8" s="148"/>
    </row>
    <row r="9" spans="2:11" ht="12" customHeight="1">
      <c r="D9" s="66"/>
      <c r="I9" s="149" t="s">
        <v>165</v>
      </c>
      <c r="J9" s="147">
        <v>12906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165</v>
      </c>
      <c r="K10" s="148"/>
    </row>
    <row r="11" spans="2:11" ht="15" customHeight="1">
      <c r="B11" s="346" t="s">
        <v>119</v>
      </c>
      <c r="C11" s="346"/>
      <c r="D11" s="346"/>
      <c r="E11" s="346"/>
      <c r="I11" s="147" t="s">
        <v>167</v>
      </c>
      <c r="J11" s="147">
        <v>1148</v>
      </c>
      <c r="K11" s="148"/>
    </row>
    <row r="12" spans="2:11" ht="15" customHeight="1">
      <c r="B12" s="346"/>
      <c r="C12" s="346"/>
      <c r="D12" s="346"/>
      <c r="E12" s="346"/>
      <c r="I12" s="147" t="s">
        <v>168</v>
      </c>
      <c r="J12" s="147">
        <v>0</v>
      </c>
      <c r="K12" s="148"/>
    </row>
    <row r="13" spans="2:11" ht="21.75" customHeight="1">
      <c r="B13" s="208"/>
      <c r="C13" s="282"/>
      <c r="D13" s="282"/>
      <c r="I13" s="147" t="s">
        <v>169</v>
      </c>
      <c r="J13" s="147">
        <v>0</v>
      </c>
      <c r="K13" s="148"/>
    </row>
    <row r="14" spans="2:11" ht="14.45" customHeight="1">
      <c r="B14" s="84" t="s">
        <v>2</v>
      </c>
      <c r="C14" s="85">
        <f>J6</f>
        <v>3186.6</v>
      </c>
      <c r="D14" s="77" t="s">
        <v>61</v>
      </c>
      <c r="I14" s="147" t="s">
        <v>170</v>
      </c>
      <c r="J14" s="147">
        <v>1440.6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4512.8999999999996</v>
      </c>
      <c r="K15" s="148"/>
    </row>
    <row r="16" spans="2:11" s="6" customFormat="1" ht="21.75" customHeight="1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6.75" customHeight="1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474.48746231569402</v>
      </c>
      <c r="K17" s="148"/>
    </row>
    <row r="18" spans="2:11">
      <c r="B18" s="93" t="s">
        <v>7</v>
      </c>
      <c r="C18" s="198">
        <f>C14*14.28*12</f>
        <v>546055.77599999995</v>
      </c>
      <c r="D18" s="155" t="s">
        <v>545</v>
      </c>
      <c r="E18" s="199" t="s">
        <v>99</v>
      </c>
      <c r="I18" s="147" t="s">
        <v>174</v>
      </c>
      <c r="J18" s="147">
        <v>7.54</v>
      </c>
      <c r="K18" s="148"/>
    </row>
    <row r="19" spans="2:11" ht="38.25">
      <c r="B19" s="94" t="s">
        <v>8</v>
      </c>
      <c r="C19" s="286">
        <f>166*(211.42*6*1.45/12+226.93*6*1.45/12)*1.18</f>
        <v>62251.398549999991</v>
      </c>
      <c r="D19" s="287" t="s">
        <v>546</v>
      </c>
      <c r="E19" s="200"/>
      <c r="I19" s="147" t="s">
        <v>175</v>
      </c>
      <c r="J19" s="150">
        <v>1.01</v>
      </c>
      <c r="K19" s="154">
        <f>(J15/3+J14)/2920</f>
        <v>1.0085273972602737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0.55555555555555558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J24/1180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546055.77599999995</v>
      </c>
      <c r="D24" s="83"/>
      <c r="E24" s="200"/>
      <c r="I24" s="148" t="s">
        <v>180</v>
      </c>
      <c r="J24" s="148"/>
      <c r="K24" s="148"/>
    </row>
    <row r="25" spans="2:11" ht="25.5">
      <c r="B25" s="104" t="s">
        <v>11</v>
      </c>
      <c r="C25" s="65">
        <f>C26+C27+C28+C29+C30+C31</f>
        <v>6839.76</v>
      </c>
      <c r="D25" s="83"/>
      <c r="E25" s="200"/>
      <c r="I25" s="74" t="s">
        <v>185</v>
      </c>
      <c r="J25" s="74">
        <v>439</v>
      </c>
      <c r="K25" s="74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552895.53599999996</v>
      </c>
      <c r="D33" s="83"/>
      <c r="E33" s="108"/>
    </row>
    <row r="34" spans="2:8" ht="31.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(1.01*(3565+200)*1.5*1.15*1.083*1.302*3)+(1.01*(3708+200)*1.5*1.15*1.083*1.302*9)+(0.1*1440.6*12)</f>
        <v>115883.61752812951</v>
      </c>
      <c r="D36" s="291" t="s">
        <v>547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166*(360.84*0.025*3+362.52*0.025*3+382.25*0.025*6)</f>
        <v>18523.857</v>
      </c>
      <c r="D39" s="293" t="s">
        <v>548</v>
      </c>
      <c r="E39" s="199" t="s">
        <v>101</v>
      </c>
      <c r="H39" s="3"/>
    </row>
    <row r="40" spans="2:8" ht="15.75">
      <c r="B40" s="113" t="s">
        <v>31</v>
      </c>
      <c r="C40" s="294">
        <f>(16.86+17.53)*80</f>
        <v>2751.2</v>
      </c>
      <c r="D40" s="295" t="s">
        <v>473</v>
      </c>
      <c r="E40" s="200" t="s">
        <v>102</v>
      </c>
      <c r="H40" s="3"/>
    </row>
    <row r="41" spans="2:8" ht="25.5">
      <c r="B41" s="113" t="s">
        <v>32</v>
      </c>
      <c r="C41" s="294">
        <f>(49.72+51.71)*2*0</f>
        <v>0</v>
      </c>
      <c r="D41" s="295" t="s">
        <v>317</v>
      </c>
      <c r="E41" s="200"/>
      <c r="H41" s="3"/>
    </row>
    <row r="42" spans="2:8" ht="15.75">
      <c r="B42" s="113" t="s">
        <v>33</v>
      </c>
      <c r="C42" s="185">
        <f>0.26*439*12</f>
        <v>1369.68</v>
      </c>
      <c r="D42" s="155" t="s">
        <v>252</v>
      </c>
      <c r="E42" s="200" t="s">
        <v>99</v>
      </c>
      <c r="H42" s="3"/>
    </row>
    <row r="43" spans="2:8" ht="15.75">
      <c r="B43" s="115" t="s">
        <v>34</v>
      </c>
      <c r="C43" s="185">
        <f>1.02*439*4</f>
        <v>1791.1200000000001</v>
      </c>
      <c r="D43" s="155" t="s">
        <v>253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 t="s">
        <v>99</v>
      </c>
      <c r="H45" s="3"/>
    </row>
    <row r="46" spans="2:8" ht="15.75" hidden="1">
      <c r="B46" s="94" t="s">
        <v>216</v>
      </c>
      <c r="C46" s="70">
        <f>450.08*12*0</f>
        <v>0</v>
      </c>
      <c r="D46" s="186" t="s">
        <v>251</v>
      </c>
      <c r="E46" s="200" t="s">
        <v>99</v>
      </c>
      <c r="H46" s="3"/>
    </row>
    <row r="47" spans="2:8" ht="50.25" customHeight="1">
      <c r="B47" s="94" t="s">
        <v>40</v>
      </c>
      <c r="C47" s="299">
        <f>166*(211.42*6*1.45/12+226.93*6*1.45/12)</f>
        <v>52755.422499999993</v>
      </c>
      <c r="D47" s="297" t="s">
        <v>549</v>
      </c>
      <c r="E47" s="200" t="s">
        <v>101</v>
      </c>
      <c r="H47" s="3"/>
    </row>
    <row r="48" spans="2:8" ht="25.5">
      <c r="B48" s="94" t="s">
        <v>41</v>
      </c>
      <c r="C48" s="296">
        <f>0*(232.8*6+243.11*6)</f>
        <v>0</v>
      </c>
      <c r="D48" s="300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193074.89702812949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(7.54*96.4189*3)+(7.54*100.2864*9)+(1.78*(C14+C15)*12)</f>
        <v>77052.206621999998</v>
      </c>
      <c r="D51" s="301" t="s">
        <v>550</v>
      </c>
      <c r="E51" s="204"/>
    </row>
    <row r="52" spans="2:5">
      <c r="B52" s="115" t="s">
        <v>45</v>
      </c>
      <c r="C52" s="65">
        <f>13.69*1148</f>
        <v>15716.119999999999</v>
      </c>
      <c r="D52" s="83" t="s">
        <v>518</v>
      </c>
      <c r="E52" s="200" t="s">
        <v>104</v>
      </c>
    </row>
    <row r="53" spans="2:5" ht="102">
      <c r="B53" s="172" t="s">
        <v>94</v>
      </c>
      <c r="C53" s="70">
        <f>17.51*(C14+C15)*0</f>
        <v>0</v>
      </c>
      <c r="D53" s="83" t="s">
        <v>551</v>
      </c>
      <c r="E53" s="200"/>
    </row>
    <row r="54" spans="2:5" ht="51">
      <c r="B54" s="113" t="s">
        <v>46</v>
      </c>
      <c r="C54" s="294">
        <f>(632.04+251.07/3)*12906/1000</f>
        <v>9237.2113800000006</v>
      </c>
      <c r="D54" s="301" t="s">
        <v>552</v>
      </c>
      <c r="E54" s="94" t="s">
        <v>105</v>
      </c>
    </row>
    <row r="55" spans="2:5" ht="51">
      <c r="B55" s="121" t="s">
        <v>47</v>
      </c>
      <c r="C55" s="302">
        <f>((474.49/12*3*96.4189)+(474.49/12*9*100.2864))+((474.49/12*3*96.4189)+(474.49/12*9*100.2864))/1.302*25%</f>
        <v>56174.915852205835</v>
      </c>
      <c r="D55" s="301" t="s">
        <v>553</v>
      </c>
      <c r="E55" s="200"/>
    </row>
    <row r="56" spans="2:5" ht="15.75">
      <c r="B56" s="122" t="s">
        <v>48</v>
      </c>
      <c r="C56" s="117">
        <f>C51+C52+C53+C54+C55</f>
        <v>158180.45385420581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3.05*(3186.6+0)</f>
        <v>9719.1299999999992</v>
      </c>
      <c r="D64" s="126" t="s">
        <v>554</v>
      </c>
      <c r="E64" s="200"/>
    </row>
    <row r="65" spans="2:8" ht="15.75">
      <c r="B65" s="130" t="s">
        <v>57</v>
      </c>
      <c r="C65" s="131">
        <f>1.49*(3186.6+0)</f>
        <v>4748.0339999999997</v>
      </c>
      <c r="D65" s="131" t="s">
        <v>845</v>
      </c>
      <c r="E65" s="200"/>
      <c r="H65" s="4"/>
    </row>
    <row r="66" spans="2:8">
      <c r="B66" s="78" t="s">
        <v>58</v>
      </c>
      <c r="C66" s="95">
        <f>(C49+C56)*0.341</f>
        <v>119778.07465087636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62176.412170383941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196421.65082126029</v>
      </c>
      <c r="D68" s="128"/>
      <c r="E68" s="200"/>
    </row>
    <row r="69" spans="2:8">
      <c r="B69" s="78" t="s">
        <v>59</v>
      </c>
      <c r="C69" s="95">
        <f>(C49+C56+C63+C68)*3%</f>
        <v>16430.310051107866</v>
      </c>
      <c r="D69" s="126"/>
      <c r="E69" s="200"/>
    </row>
    <row r="70" spans="2:8" ht="15.75">
      <c r="B70" s="133" t="s">
        <v>23</v>
      </c>
      <c r="C70" s="134">
        <f>C49+C56+C63+C68+C69</f>
        <v>564107.31175470352</v>
      </c>
      <c r="D70" s="135"/>
      <c r="E70" s="200"/>
    </row>
    <row r="71" spans="2:8" ht="15.75">
      <c r="B71" s="133" t="s">
        <v>60</v>
      </c>
      <c r="C71" s="134">
        <f>C70*1.18</f>
        <v>665646.62787055015</v>
      </c>
      <c r="D71" s="135"/>
      <c r="E71" s="108"/>
    </row>
    <row r="72" spans="2:8" ht="15.75">
      <c r="B72" s="136"/>
      <c r="C72" s="137">
        <f>C33-C71</f>
        <v>-112751.09187055018</v>
      </c>
      <c r="D72" s="138"/>
      <c r="E72" s="200"/>
    </row>
    <row r="73" spans="2:8" ht="30">
      <c r="B73" s="159" t="s">
        <v>106</v>
      </c>
      <c r="C73" s="188">
        <f>C71/(C14+C15)/12</f>
        <v>17.407441261076332</v>
      </c>
      <c r="D73" s="189" t="s">
        <v>195</v>
      </c>
      <c r="E73" s="108"/>
    </row>
    <row r="74" spans="2:8" ht="15" customHeight="1">
      <c r="B74" s="161"/>
      <c r="C74" s="190"/>
      <c r="D74" s="191"/>
      <c r="E74" s="205"/>
    </row>
    <row r="75" spans="2:8" ht="19.5" customHeight="1">
      <c r="B75" s="345" t="s">
        <v>97</v>
      </c>
      <c r="C75" s="345"/>
      <c r="D75" s="345"/>
      <c r="E75" s="303"/>
    </row>
    <row r="76" spans="2:8" ht="30.75" customHeight="1">
      <c r="B76" s="348" t="s">
        <v>334</v>
      </c>
      <c r="C76" s="348"/>
      <c r="D76" s="348"/>
      <c r="E76" s="348"/>
    </row>
    <row r="77" spans="2:8" ht="28.5" customHeight="1">
      <c r="B77" s="348" t="s">
        <v>335</v>
      </c>
      <c r="C77" s="348"/>
      <c r="D77" s="348"/>
      <c r="E77" s="348"/>
    </row>
    <row r="78" spans="2:8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213</v>
      </c>
      <c r="C81" s="344"/>
      <c r="D81" s="344"/>
    </row>
    <row r="89" spans="2:4" s="9" customFormat="1">
      <c r="B89" s="47"/>
      <c r="C89" s="47"/>
      <c r="D89" s="47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B3:K98"/>
  <sheetViews>
    <sheetView topLeftCell="A41" workbookViewId="0">
      <selection activeCell="C51" sqref="C51:C5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140625" style="9" customWidth="1"/>
    <col min="6" max="6" width="4.7109375" style="62" customWidth="1"/>
    <col min="7" max="8" width="9.140625" style="62"/>
    <col min="9" max="9" width="14.710937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14.28</v>
      </c>
      <c r="K5" s="148" t="s">
        <v>186</v>
      </c>
    </row>
    <row r="6" spans="2:11" ht="15.75">
      <c r="D6" s="176"/>
      <c r="I6" s="147" t="s">
        <v>162</v>
      </c>
      <c r="J6" s="147">
        <v>2574.1999999999998</v>
      </c>
      <c r="K6" s="148"/>
    </row>
    <row r="7" spans="2:11" ht="15.75">
      <c r="D7" s="176" t="s">
        <v>297</v>
      </c>
      <c r="I7" s="147" t="s">
        <v>163</v>
      </c>
      <c r="J7" s="147">
        <v>64</v>
      </c>
      <c r="K7" s="148"/>
    </row>
    <row r="8" spans="2:11" ht="15" customHeight="1">
      <c r="D8" s="66"/>
      <c r="I8" s="147" t="s">
        <v>164</v>
      </c>
      <c r="J8" s="283">
        <v>134</v>
      </c>
      <c r="K8" s="148"/>
    </row>
    <row r="9" spans="2:11" ht="15.75">
      <c r="D9" s="66"/>
      <c r="I9" s="149" t="s">
        <v>165</v>
      </c>
      <c r="J9" s="147">
        <v>9939</v>
      </c>
      <c r="K9" s="148"/>
    </row>
    <row r="10" spans="2:11" ht="33.75" customHeight="1">
      <c r="B10" s="346" t="s">
        <v>299</v>
      </c>
      <c r="C10" s="346"/>
      <c r="D10" s="346"/>
      <c r="E10" s="346"/>
      <c r="I10" s="147" t="s">
        <v>166</v>
      </c>
      <c r="J10" s="147">
        <v>15</v>
      </c>
      <c r="K10" s="148"/>
    </row>
    <row r="11" spans="2:11" ht="15" customHeight="1">
      <c r="B11" s="347" t="s">
        <v>120</v>
      </c>
      <c r="C11" s="347"/>
      <c r="D11" s="347"/>
      <c r="E11" s="347"/>
      <c r="I11" s="147" t="s">
        <v>167</v>
      </c>
      <c r="J11" s="147">
        <v>1144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" customHeight="1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2574.1999999999998</v>
      </c>
      <c r="D14" s="77" t="s">
        <v>61</v>
      </c>
      <c r="I14" s="147" t="s">
        <v>170</v>
      </c>
      <c r="J14" s="147">
        <v>1035.5999999999999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3226.4</v>
      </c>
      <c r="K15" s="148"/>
    </row>
    <row r="16" spans="2:11" s="6" customFormat="1" ht="12.75" customHeight="1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227" t="s">
        <v>4</v>
      </c>
      <c r="C17" s="177" t="s">
        <v>5</v>
      </c>
      <c r="D17" s="177" t="s">
        <v>6</v>
      </c>
      <c r="E17" s="197" t="s">
        <v>98</v>
      </c>
      <c r="I17" s="147" t="s">
        <v>173</v>
      </c>
      <c r="J17" s="284">
        <v>393.34328561343602</v>
      </c>
      <c r="K17" s="148"/>
    </row>
    <row r="18" spans="2:11">
      <c r="B18" s="228" t="s">
        <v>7</v>
      </c>
      <c r="C18" s="198">
        <f>C14*14.28*12</f>
        <v>441114.91199999989</v>
      </c>
      <c r="D18" s="155" t="s">
        <v>555</v>
      </c>
      <c r="E18" s="199" t="s">
        <v>99</v>
      </c>
      <c r="I18" s="147" t="s">
        <v>174</v>
      </c>
      <c r="J18" s="147">
        <v>7.78</v>
      </c>
      <c r="K18" s="148"/>
    </row>
    <row r="19" spans="2:11" ht="38.25">
      <c r="B19" s="94" t="s">
        <v>8</v>
      </c>
      <c r="C19" s="286">
        <f>134*(211.42*6*1.45/12+226.93*6*1.45/12)*1.18</f>
        <v>50251.128949999998</v>
      </c>
      <c r="D19" s="287" t="s">
        <v>556</v>
      </c>
      <c r="E19" s="200"/>
      <c r="I19" s="147" t="s">
        <v>175</v>
      </c>
      <c r="J19" s="150">
        <v>0.72</v>
      </c>
      <c r="K19" s="154">
        <f>(J15/3+J14)/2920</f>
        <v>0.72296803652968034</v>
      </c>
    </row>
    <row r="20" spans="2:11">
      <c r="B20" s="228" t="s">
        <v>9</v>
      </c>
      <c r="C20" s="206">
        <f>C21</f>
        <v>0</v>
      </c>
      <c r="D20" s="229"/>
      <c r="E20" s="200"/>
      <c r="I20" s="151" t="s">
        <v>176</v>
      </c>
      <c r="J20" s="151"/>
      <c r="K20" s="154">
        <f>J7/144</f>
        <v>0.44444444444444442</v>
      </c>
    </row>
    <row r="21" spans="2:11">
      <c r="B21" s="155"/>
      <c r="C21" s="206"/>
      <c r="D21" s="229"/>
      <c r="E21" s="200"/>
      <c r="I21" s="152" t="s">
        <v>177</v>
      </c>
      <c r="J21" s="153"/>
      <c r="K21" s="154">
        <f>J24/1180</f>
        <v>0</v>
      </c>
    </row>
    <row r="22" spans="2:11">
      <c r="B22" s="230"/>
      <c r="C22" s="222"/>
      <c r="D22" s="223"/>
      <c r="E22" s="200"/>
      <c r="I22" s="74" t="s">
        <v>178</v>
      </c>
      <c r="J22" s="74">
        <v>1.45</v>
      </c>
      <c r="K22" s="148"/>
    </row>
    <row r="23" spans="2:11">
      <c r="B23" s="230"/>
      <c r="C23" s="222"/>
      <c r="D23" s="223"/>
      <c r="E23" s="200"/>
      <c r="I23" s="74" t="s">
        <v>179</v>
      </c>
      <c r="J23" s="74"/>
      <c r="K23" s="148"/>
    </row>
    <row r="24" spans="2:11" ht="15.75">
      <c r="B24" s="231" t="s">
        <v>10</v>
      </c>
      <c r="C24" s="207">
        <f>C18+C20</f>
        <v>441114.91199999989</v>
      </c>
      <c r="D24" s="210"/>
      <c r="E24" s="200"/>
      <c r="I24" s="148" t="s">
        <v>180</v>
      </c>
      <c r="J24" s="148"/>
      <c r="K24" s="148"/>
    </row>
    <row r="25" spans="2:11">
      <c r="B25" s="232" t="s">
        <v>11</v>
      </c>
      <c r="C25" s="207">
        <f>C26+C27+C28+C29+C30+C31</f>
        <v>6839.76</v>
      </c>
      <c r="D25" s="210"/>
      <c r="E25" s="200"/>
      <c r="I25" s="74" t="s">
        <v>185</v>
      </c>
      <c r="J25" s="74">
        <v>223</v>
      </c>
      <c r="K25" s="74"/>
    </row>
    <row r="26" spans="2:11">
      <c r="B26" s="155" t="s">
        <v>12</v>
      </c>
      <c r="C26" s="207">
        <f>34.98*12</f>
        <v>419.76</v>
      </c>
      <c r="D26" s="210" t="s">
        <v>13</v>
      </c>
      <c r="E26" s="200" t="s">
        <v>99</v>
      </c>
    </row>
    <row r="27" spans="2:11">
      <c r="B27" s="155" t="s">
        <v>14</v>
      </c>
      <c r="C27" s="207">
        <f>137.5*12</f>
        <v>1650</v>
      </c>
      <c r="D27" s="210" t="s">
        <v>15</v>
      </c>
      <c r="E27" s="200" t="s">
        <v>99</v>
      </c>
    </row>
    <row r="28" spans="2:11">
      <c r="B28" s="155" t="s">
        <v>16</v>
      </c>
      <c r="C28" s="207">
        <f>123.75*12</f>
        <v>1485</v>
      </c>
      <c r="D28" s="210" t="s">
        <v>17</v>
      </c>
      <c r="E28" s="200" t="s">
        <v>99</v>
      </c>
    </row>
    <row r="29" spans="2:11">
      <c r="B29" s="155" t="s">
        <v>18</v>
      </c>
      <c r="C29" s="207">
        <f>123.75*12</f>
        <v>1485</v>
      </c>
      <c r="D29" s="210" t="s">
        <v>17</v>
      </c>
      <c r="E29" s="200" t="s">
        <v>99</v>
      </c>
    </row>
    <row r="30" spans="2:11">
      <c r="B30" s="155" t="s">
        <v>19</v>
      </c>
      <c r="C30" s="207">
        <f>150*12</f>
        <v>1800</v>
      </c>
      <c r="D30" s="210" t="s">
        <v>20</v>
      </c>
      <c r="E30" s="200" t="s">
        <v>99</v>
      </c>
    </row>
    <row r="31" spans="2:11">
      <c r="B31" s="155" t="s">
        <v>69</v>
      </c>
      <c r="C31" s="207">
        <f>137.5*12*0</f>
        <v>0</v>
      </c>
      <c r="D31" s="210" t="s">
        <v>15</v>
      </c>
      <c r="E31" s="200"/>
    </row>
    <row r="32" spans="2:11">
      <c r="B32" s="232" t="s">
        <v>21</v>
      </c>
      <c r="C32" s="207">
        <v>0</v>
      </c>
      <c r="D32" s="210"/>
      <c r="E32" s="200"/>
    </row>
    <row r="33" spans="2:8" ht="18.75">
      <c r="B33" s="233" t="s">
        <v>23</v>
      </c>
      <c r="C33" s="234">
        <f>C24+C25+C32</f>
        <v>447954.6719999999</v>
      </c>
      <c r="D33" s="210"/>
      <c r="E33" s="108"/>
    </row>
    <row r="34" spans="2:8" ht="15.75">
      <c r="B34" s="177" t="s">
        <v>24</v>
      </c>
      <c r="C34" s="235" t="s">
        <v>5</v>
      </c>
      <c r="D34" s="236" t="s">
        <v>25</v>
      </c>
      <c r="E34" s="200"/>
    </row>
    <row r="35" spans="2:8" ht="15.75">
      <c r="B35" s="94" t="s">
        <v>26</v>
      </c>
      <c r="C35" s="206"/>
      <c r="D35" s="199"/>
      <c r="E35" s="200"/>
      <c r="H35" s="2"/>
    </row>
    <row r="36" spans="2:8" ht="51">
      <c r="B36" s="94" t="s">
        <v>27</v>
      </c>
      <c r="C36" s="290">
        <f>(0.72*(3565+200)*1.5*1.15*1.083*1.302*3)+(0.72*(3708+200)*1.5*1.15*1.083*1.302*9)+(0.1*1035.6*12)</f>
        <v>82620.468732923982</v>
      </c>
      <c r="D36" s="291" t="s">
        <v>557</v>
      </c>
      <c r="E36" s="200" t="s">
        <v>100</v>
      </c>
      <c r="H36" s="3"/>
    </row>
    <row r="37" spans="2:8" ht="15.75">
      <c r="B37" s="94" t="s">
        <v>28</v>
      </c>
      <c r="C37" s="219"/>
      <c r="D37" s="237"/>
      <c r="E37" s="200"/>
      <c r="H37" s="3"/>
    </row>
    <row r="38" spans="2:8" ht="15.75">
      <c r="B38" s="94" t="s">
        <v>29</v>
      </c>
      <c r="C38" s="219"/>
      <c r="D38" s="237"/>
      <c r="E38" s="200"/>
      <c r="H38" s="3"/>
    </row>
    <row r="39" spans="2:8" s="7" customFormat="1" ht="51">
      <c r="B39" s="94" t="s">
        <v>30</v>
      </c>
      <c r="C39" s="292">
        <f>134*(360.84*0.025*3+362.52*0.025*3+382.25*0.025*6)</f>
        <v>14952.993</v>
      </c>
      <c r="D39" s="293" t="s">
        <v>558</v>
      </c>
      <c r="E39" s="199" t="s">
        <v>101</v>
      </c>
      <c r="H39" s="3"/>
    </row>
    <row r="40" spans="2:8" ht="15.75">
      <c r="B40" s="94" t="s">
        <v>31</v>
      </c>
      <c r="C40" s="294">
        <f>(16.86+17.53)*64</f>
        <v>2200.96</v>
      </c>
      <c r="D40" s="295" t="s">
        <v>342</v>
      </c>
      <c r="E40" s="200" t="s">
        <v>102</v>
      </c>
      <c r="H40" s="3"/>
    </row>
    <row r="41" spans="2:8" ht="25.5">
      <c r="B41" s="94" t="s">
        <v>32</v>
      </c>
      <c r="C41" s="294">
        <f>(49.72+51.71)*2*0</f>
        <v>0</v>
      </c>
      <c r="D41" s="295" t="s">
        <v>317</v>
      </c>
      <c r="E41" s="200"/>
      <c r="H41" s="3"/>
    </row>
    <row r="42" spans="2:8" ht="15.75">
      <c r="B42" s="94" t="s">
        <v>33</v>
      </c>
      <c r="C42" s="185">
        <f>0.26*223*12</f>
        <v>695.76</v>
      </c>
      <c r="D42" s="155" t="s">
        <v>254</v>
      </c>
      <c r="E42" s="200" t="s">
        <v>99</v>
      </c>
      <c r="H42" s="3"/>
    </row>
    <row r="43" spans="2:8" ht="15.75">
      <c r="B43" s="94" t="s">
        <v>34</v>
      </c>
      <c r="C43" s="185">
        <f>1.02*223*4</f>
        <v>909.84</v>
      </c>
      <c r="D43" s="155" t="s">
        <v>255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/>
      <c r="H45" s="3"/>
    </row>
    <row r="46" spans="2:8" ht="15.75" hidden="1">
      <c r="B46" s="94" t="s">
        <v>38</v>
      </c>
      <c r="C46" s="207">
        <f>0*2*12</f>
        <v>0</v>
      </c>
      <c r="D46" s="221" t="s">
        <v>39</v>
      </c>
      <c r="E46" s="200"/>
      <c r="H46" s="3"/>
    </row>
    <row r="47" spans="2:8" ht="50.25" customHeight="1">
      <c r="B47" s="94" t="s">
        <v>40</v>
      </c>
      <c r="C47" s="299">
        <f>134*(211.42*6*1.45/12+226.93*6*1.45/12)</f>
        <v>42585.702499999999</v>
      </c>
      <c r="D47" s="297" t="s">
        <v>559</v>
      </c>
      <c r="E47" s="200" t="s">
        <v>101</v>
      </c>
      <c r="H47" s="3"/>
    </row>
    <row r="48" spans="2:8" ht="25.5">
      <c r="B48" s="94" t="s">
        <v>41</v>
      </c>
      <c r="C48" s="296">
        <f>0*(232.8*6+243.11*6)</f>
        <v>0</v>
      </c>
      <c r="D48" s="300" t="s">
        <v>393</v>
      </c>
      <c r="E48" s="200" t="s">
        <v>101</v>
      </c>
      <c r="H48" s="3"/>
    </row>
    <row r="49" spans="2:5" ht="15.75">
      <c r="B49" s="231" t="s">
        <v>42</v>
      </c>
      <c r="C49" s="238">
        <f>C36+C37+C38+C39+C40+C41+C42+C43+C44+C45+C46+C47+C48</f>
        <v>143965.724232924</v>
      </c>
      <c r="D49" s="239"/>
      <c r="E49" s="108"/>
    </row>
    <row r="50" spans="2:5">
      <c r="B50" s="94" t="s">
        <v>43</v>
      </c>
      <c r="C50" s="207"/>
      <c r="D50" s="210"/>
      <c r="E50" s="200"/>
    </row>
    <row r="51" spans="2:5" s="8" customFormat="1" ht="51">
      <c r="B51" s="171" t="s">
        <v>44</v>
      </c>
      <c r="C51" s="294">
        <f>(7.78*96.4189*3)+(7.78*100.2864*9)+(1.78*(C14+C15)*12)</f>
        <v>64257.382853999996</v>
      </c>
      <c r="D51" s="301" t="s">
        <v>560</v>
      </c>
      <c r="E51" s="204"/>
    </row>
    <row r="52" spans="2:5">
      <c r="B52" s="94" t="s">
        <v>45</v>
      </c>
      <c r="C52" s="207">
        <f>13.69*1144</f>
        <v>15661.359999999999</v>
      </c>
      <c r="D52" s="210" t="s">
        <v>561</v>
      </c>
      <c r="E52" s="200" t="s">
        <v>104</v>
      </c>
    </row>
    <row r="53" spans="2:5" ht="89.25">
      <c r="B53" s="172" t="s">
        <v>94</v>
      </c>
      <c r="C53" s="207">
        <f>17.51*(C14+C15)*0</f>
        <v>0</v>
      </c>
      <c r="D53" s="210" t="s">
        <v>562</v>
      </c>
      <c r="E53" s="200"/>
    </row>
    <row r="54" spans="2:5" ht="51">
      <c r="B54" s="94" t="s">
        <v>46</v>
      </c>
      <c r="C54" s="294">
        <f>(632.04+251.07/3)*9939/1000</f>
        <v>7113.6404699999994</v>
      </c>
      <c r="D54" s="301" t="s">
        <v>563</v>
      </c>
      <c r="E54" s="94" t="s">
        <v>105</v>
      </c>
    </row>
    <row r="55" spans="2:5" ht="51">
      <c r="B55" s="199" t="s">
        <v>47</v>
      </c>
      <c r="C55" s="302">
        <f>((393.34/12*3*96.4189)+(393.34/12*9*100.2864))+((393.34/12*3*96.4189)+(393.34/12*9*100.2864))/1.302*25%</f>
        <v>46567.559698427023</v>
      </c>
      <c r="D55" s="301" t="s">
        <v>564</v>
      </c>
      <c r="E55" s="200"/>
    </row>
    <row r="56" spans="2:5" ht="15.75">
      <c r="B56" s="240" t="s">
        <v>48</v>
      </c>
      <c r="C56" s="238">
        <f>C51+C52+C53+C54+C55</f>
        <v>133599.94302242703</v>
      </c>
      <c r="D56" s="239"/>
      <c r="E56" s="200"/>
    </row>
    <row r="57" spans="2:5">
      <c r="B57" s="199" t="s">
        <v>49</v>
      </c>
      <c r="C57" s="207"/>
      <c r="D57" s="210"/>
      <c r="E57" s="200"/>
    </row>
    <row r="58" spans="2:5" s="7" customFormat="1" ht="12.75">
      <c r="B58" s="199" t="s">
        <v>50</v>
      </c>
      <c r="C58" s="207"/>
      <c r="D58" s="210"/>
      <c r="E58" s="199"/>
    </row>
    <row r="59" spans="2:5">
      <c r="B59" s="199" t="s">
        <v>51</v>
      </c>
      <c r="C59" s="206"/>
      <c r="D59" s="241"/>
      <c r="E59" s="200"/>
    </row>
    <row r="60" spans="2:5">
      <c r="B60" s="199" t="s">
        <v>52</v>
      </c>
      <c r="C60" s="206"/>
      <c r="D60" s="241"/>
      <c r="E60" s="200"/>
    </row>
    <row r="61" spans="2:5">
      <c r="B61" s="199" t="s">
        <v>53</v>
      </c>
      <c r="C61" s="206"/>
      <c r="D61" s="241"/>
      <c r="E61" s="200"/>
    </row>
    <row r="62" spans="2:5">
      <c r="B62" s="199" t="s">
        <v>54</v>
      </c>
      <c r="C62" s="206"/>
      <c r="D62" s="241"/>
      <c r="E62" s="200"/>
    </row>
    <row r="63" spans="2:5" ht="15.75">
      <c r="B63" s="240" t="s">
        <v>55</v>
      </c>
      <c r="C63" s="242">
        <f>C58+C59</f>
        <v>0</v>
      </c>
      <c r="D63" s="243"/>
      <c r="E63" s="200"/>
    </row>
    <row r="64" spans="2:5">
      <c r="B64" s="244" t="s">
        <v>56</v>
      </c>
      <c r="C64" s="206">
        <f>3.05*(2574.2+0)</f>
        <v>7851.3099999999986</v>
      </c>
      <c r="D64" s="241" t="s">
        <v>565</v>
      </c>
      <c r="E64" s="200"/>
    </row>
    <row r="65" spans="2:8" ht="15.75">
      <c r="B65" s="245" t="s">
        <v>57</v>
      </c>
      <c r="C65" s="246">
        <f>1.49*(2574.2+0)</f>
        <v>3835.5579999999995</v>
      </c>
      <c r="D65" s="246" t="s">
        <v>846</v>
      </c>
      <c r="E65" s="200"/>
      <c r="H65" s="4"/>
    </row>
    <row r="66" spans="2:8">
      <c r="B66" s="155" t="s">
        <v>58</v>
      </c>
      <c r="C66" s="206">
        <f>(C49+C56)*0.341</f>
        <v>94649.892534074708</v>
      </c>
      <c r="D66" s="241" t="s">
        <v>331</v>
      </c>
      <c r="E66" s="200"/>
    </row>
    <row r="67" spans="2:8" ht="38.25">
      <c r="B67" s="155" t="s">
        <v>95</v>
      </c>
      <c r="C67" s="246">
        <f>(C49+C56+C66)*0.132</f>
        <v>49132.453892204205</v>
      </c>
      <c r="D67" s="241" t="s">
        <v>332</v>
      </c>
      <c r="E67" s="200" t="s">
        <v>99</v>
      </c>
    </row>
    <row r="68" spans="2:8" ht="15.75">
      <c r="B68" s="247" t="s">
        <v>96</v>
      </c>
      <c r="C68" s="242">
        <f>C64+C65+C66+C67</f>
        <v>155469.21442627892</v>
      </c>
      <c r="D68" s="243"/>
      <c r="E68" s="200"/>
    </row>
    <row r="69" spans="2:8">
      <c r="B69" s="155" t="s">
        <v>59</v>
      </c>
      <c r="C69" s="206">
        <f>(C49+C56+C63+C68)*3%</f>
        <v>12991.046450448897</v>
      </c>
      <c r="D69" s="241"/>
      <c r="E69" s="200"/>
    </row>
    <row r="70" spans="2:8" ht="15.75">
      <c r="B70" s="248" t="s">
        <v>23</v>
      </c>
      <c r="C70" s="249">
        <f>C49+C56+C63+C68+C69</f>
        <v>446025.92813207884</v>
      </c>
      <c r="D70" s="250"/>
      <c r="E70" s="200"/>
    </row>
    <row r="71" spans="2:8" ht="15.75">
      <c r="B71" s="248" t="s">
        <v>60</v>
      </c>
      <c r="C71" s="249">
        <f>C70*1.18</f>
        <v>526310.59519585303</v>
      </c>
      <c r="D71" s="250"/>
      <c r="E71" s="108"/>
    </row>
    <row r="72" spans="2:8" ht="15.75">
      <c r="B72" s="251"/>
      <c r="C72" s="252">
        <f>C33-C71</f>
        <v>-78355.923195853131</v>
      </c>
      <c r="D72" s="235"/>
      <c r="E72" s="200"/>
    </row>
    <row r="73" spans="2:8" ht="30">
      <c r="B73" s="159" t="s">
        <v>106</v>
      </c>
      <c r="C73" s="188">
        <f>C71/(C14+C15)/12</f>
        <v>17.037998704965073</v>
      </c>
      <c r="D73" s="189" t="s">
        <v>138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3.75" customHeight="1">
      <c r="B76" s="348" t="s">
        <v>334</v>
      </c>
      <c r="C76" s="348"/>
      <c r="D76" s="348"/>
      <c r="E76" s="348"/>
    </row>
    <row r="77" spans="2:8" ht="29.25" customHeight="1">
      <c r="B77" s="348" t="s">
        <v>335</v>
      </c>
      <c r="C77" s="348"/>
      <c r="D77" s="348"/>
      <c r="E77" s="348"/>
    </row>
    <row r="78" spans="2:8" ht="3.7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213</v>
      </c>
      <c r="C81" s="344"/>
      <c r="D81" s="34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15748031496062992" right="0.11811023622047245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B3:K98"/>
  <sheetViews>
    <sheetView topLeftCell="A58" workbookViewId="0">
      <selection activeCell="D80" sqref="D80"/>
    </sheetView>
  </sheetViews>
  <sheetFormatPr defaultRowHeight="15"/>
  <cols>
    <col min="1" max="1" width="3.7109375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" style="9" customWidth="1"/>
    <col min="6" max="6" width="4.28515625" style="62" customWidth="1"/>
    <col min="7" max="7" width="9.85546875" style="62" customWidth="1"/>
    <col min="8" max="8" width="9.140625" style="62"/>
    <col min="9" max="9" width="17.14062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15.7</v>
      </c>
      <c r="K5" s="148" t="s">
        <v>186</v>
      </c>
    </row>
    <row r="6" spans="2:11" ht="15.75">
      <c r="D6" s="176"/>
      <c r="I6" s="147" t="s">
        <v>162</v>
      </c>
      <c r="J6" s="147">
        <v>2567.6999999999998</v>
      </c>
      <c r="K6" s="148"/>
    </row>
    <row r="7" spans="2:11" ht="15.75">
      <c r="D7" s="176" t="s">
        <v>297</v>
      </c>
      <c r="I7" s="147" t="s">
        <v>163</v>
      </c>
      <c r="J7" s="147">
        <v>64</v>
      </c>
      <c r="K7" s="148"/>
    </row>
    <row r="8" spans="2:11" ht="15.75">
      <c r="D8" s="66"/>
      <c r="I8" s="147" t="s">
        <v>164</v>
      </c>
      <c r="J8" s="283">
        <v>128</v>
      </c>
      <c r="K8" s="148"/>
    </row>
    <row r="9" spans="2:11" ht="15.75">
      <c r="D9" s="66"/>
      <c r="I9" s="149" t="s">
        <v>165</v>
      </c>
      <c r="J9" s="147">
        <v>10117</v>
      </c>
      <c r="K9" s="148"/>
    </row>
    <row r="10" spans="2:11" ht="31.5" customHeight="1">
      <c r="B10" s="346" t="s">
        <v>299</v>
      </c>
      <c r="C10" s="346"/>
      <c r="D10" s="346"/>
      <c r="E10" s="346"/>
      <c r="I10" s="147" t="s">
        <v>166</v>
      </c>
      <c r="J10" s="147">
        <v>15</v>
      </c>
      <c r="K10" s="148"/>
    </row>
    <row r="11" spans="2:11" ht="15" customHeight="1">
      <c r="B11" s="347" t="s">
        <v>121</v>
      </c>
      <c r="C11" s="347"/>
      <c r="D11" s="347"/>
      <c r="E11" s="347"/>
      <c r="I11" s="147" t="s">
        <v>167</v>
      </c>
      <c r="J11" s="147">
        <v>1155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175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2567.6999999999998</v>
      </c>
      <c r="D14" s="77" t="s">
        <v>61</v>
      </c>
      <c r="I14" s="147" t="s">
        <v>170</v>
      </c>
      <c r="J14" s="147">
        <v>782.4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868.4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393.20964931275802</v>
      </c>
      <c r="K17" s="148"/>
    </row>
    <row r="18" spans="2:11">
      <c r="B18" s="93" t="s">
        <v>7</v>
      </c>
      <c r="C18" s="198">
        <f>C14*15.7*12</f>
        <v>483754.67999999993</v>
      </c>
      <c r="D18" s="155" t="s">
        <v>566</v>
      </c>
      <c r="E18" s="199" t="s">
        <v>99</v>
      </c>
      <c r="I18" s="147" t="s">
        <v>174</v>
      </c>
      <c r="J18" s="147">
        <v>7.78</v>
      </c>
      <c r="K18" s="148"/>
    </row>
    <row r="19" spans="2:11" ht="38.25">
      <c r="B19" s="94" t="s">
        <v>8</v>
      </c>
      <c r="C19" s="286">
        <f>128*(211.42*6*1.45/12+226.93*6*1.45/12)*1.18</f>
        <v>48001.078399999991</v>
      </c>
      <c r="D19" s="287" t="s">
        <v>567</v>
      </c>
      <c r="E19" s="200"/>
      <c r="I19" s="147" t="s">
        <v>175</v>
      </c>
      <c r="J19" s="150">
        <v>0.37</v>
      </c>
      <c r="K19" s="154">
        <f>(J15/3+J14)/2920</f>
        <v>0.36707762557077622</v>
      </c>
    </row>
    <row r="20" spans="2:11">
      <c r="B20" s="113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0.44444444444444442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J24/1180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483754.67999999993</v>
      </c>
      <c r="D24" s="83"/>
      <c r="E24" s="200"/>
      <c r="I24" s="148" t="s">
        <v>180</v>
      </c>
      <c r="J24" s="148"/>
      <c r="K24" s="148"/>
    </row>
    <row r="25" spans="2:11">
      <c r="B25" s="104" t="s">
        <v>11</v>
      </c>
      <c r="C25" s="65">
        <f>C26+C27+C28+C29+C30+C31</f>
        <v>6839.76</v>
      </c>
      <c r="D25" s="83"/>
      <c r="E25" s="200"/>
      <c r="I25" s="74" t="s">
        <v>185</v>
      </c>
      <c r="J25" s="74">
        <v>217</v>
      </c>
      <c r="K25" s="74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490594.43999999994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(0.37*(3565+200)*1.5*1.15*1.083*1.302*3)+(0.37*(3708+200)*1.5*1.15*1.083*1.302*9)+(0.1*782.4*12)</f>
        <v>42758.00087664149</v>
      </c>
      <c r="D36" s="291" t="s">
        <v>568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128*(360.84*0.025*3+362.52*0.025*3+382.25*0.025*6)</f>
        <v>14283.456</v>
      </c>
      <c r="D39" s="293" t="s">
        <v>569</v>
      </c>
      <c r="E39" s="199" t="s">
        <v>101</v>
      </c>
      <c r="H39" s="3"/>
    </row>
    <row r="40" spans="2:8" ht="15.75">
      <c r="B40" s="113" t="s">
        <v>31</v>
      </c>
      <c r="C40" s="294">
        <f>(16.86+17.53)*64</f>
        <v>2200.96</v>
      </c>
      <c r="D40" s="295" t="s">
        <v>342</v>
      </c>
      <c r="E40" s="200" t="s">
        <v>102</v>
      </c>
      <c r="H40" s="3"/>
    </row>
    <row r="41" spans="2:8" ht="25.5">
      <c r="B41" s="113" t="s">
        <v>32</v>
      </c>
      <c r="C41" s="294">
        <f>(49.72+51.71)*2*0</f>
        <v>0</v>
      </c>
      <c r="D41" s="295" t="s">
        <v>317</v>
      </c>
      <c r="E41" s="200"/>
      <c r="H41" s="3"/>
    </row>
    <row r="42" spans="2:8" ht="15.75">
      <c r="B42" s="113" t="s">
        <v>33</v>
      </c>
      <c r="C42" s="185">
        <f>0.26*217*12</f>
        <v>677.04</v>
      </c>
      <c r="D42" s="155" t="s">
        <v>256</v>
      </c>
      <c r="E42" s="200" t="s">
        <v>99</v>
      </c>
      <c r="H42" s="3"/>
    </row>
    <row r="43" spans="2:8" ht="15.75">
      <c r="B43" s="115" t="s">
        <v>34</v>
      </c>
      <c r="C43" s="185">
        <f>1.02*217*4</f>
        <v>885.36</v>
      </c>
      <c r="D43" s="155" t="s">
        <v>257</v>
      </c>
      <c r="E43" s="200" t="s">
        <v>103</v>
      </c>
      <c r="H43" s="3"/>
    </row>
    <row r="44" spans="2:8" ht="25.5">
      <c r="B44" s="94" t="s">
        <v>35</v>
      </c>
      <c r="C44" s="296">
        <f>(700.55*6+728.57*6)</f>
        <v>8574.7199999999993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/>
      <c r="H45" s="3"/>
    </row>
    <row r="46" spans="2:8" ht="15.75" hidden="1">
      <c r="B46" s="94" t="s">
        <v>38</v>
      </c>
      <c r="C46" s="70">
        <f>0*2*12</f>
        <v>0</v>
      </c>
      <c r="D46" s="69" t="s">
        <v>39</v>
      </c>
      <c r="E46" s="200"/>
      <c r="H46" s="3"/>
    </row>
    <row r="47" spans="2:8" ht="50.25" customHeight="1">
      <c r="B47" s="94" t="s">
        <v>40</v>
      </c>
      <c r="C47" s="299">
        <f>128*(211.42*6*1.45/12+226.93*6*1.45/12)</f>
        <v>40678.879999999997</v>
      </c>
      <c r="D47" s="297" t="s">
        <v>570</v>
      </c>
      <c r="E47" s="200" t="s">
        <v>101</v>
      </c>
      <c r="H47" s="3"/>
    </row>
    <row r="48" spans="2:8" ht="25.5">
      <c r="B48" s="94" t="s">
        <v>41</v>
      </c>
      <c r="C48" s="296">
        <f>0*(232.8*6+243.11*6)</f>
        <v>0</v>
      </c>
      <c r="D48" s="300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110058.41687664148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(7.78*96.4189*3)+(7.78*100.2864*9)+(1.78*(C14+C15)*12)</f>
        <v>64118.542853999992</v>
      </c>
      <c r="D51" s="301" t="s">
        <v>571</v>
      </c>
      <c r="E51" s="204"/>
    </row>
    <row r="52" spans="2:5">
      <c r="B52" s="115" t="s">
        <v>45</v>
      </c>
      <c r="C52" s="65">
        <f>13.69*1155</f>
        <v>15811.949999999999</v>
      </c>
      <c r="D52" s="83" t="s">
        <v>572</v>
      </c>
      <c r="E52" s="200" t="s">
        <v>104</v>
      </c>
    </row>
    <row r="53" spans="2:5" ht="89.25">
      <c r="B53" s="172" t="s">
        <v>94</v>
      </c>
      <c r="C53" s="70">
        <f>17.51*(C14+C15)</f>
        <v>44960.427000000003</v>
      </c>
      <c r="D53" s="83" t="s">
        <v>573</v>
      </c>
      <c r="E53" s="200"/>
    </row>
    <row r="54" spans="2:5" ht="53.25" customHeight="1">
      <c r="B54" s="113" t="s">
        <v>46</v>
      </c>
      <c r="C54" s="294">
        <f>(632.04+251.07/3)*10117/1000</f>
        <v>7241.0404100000005</v>
      </c>
      <c r="D54" s="301" t="s">
        <v>574</v>
      </c>
      <c r="E54" s="94" t="s">
        <v>105</v>
      </c>
    </row>
    <row r="55" spans="2:5" ht="51">
      <c r="B55" s="121" t="s">
        <v>47</v>
      </c>
      <c r="C55" s="302">
        <f>((393.21/12*3*96.4189)+(393.21/12*9*100.2864))+((393.21/12*3*96.4189)+(393.21/12*9*100.2864))/1.302*25%</f>
        <v>46552.168986165889</v>
      </c>
      <c r="D55" s="301" t="s">
        <v>575</v>
      </c>
      <c r="E55" s="200"/>
    </row>
    <row r="56" spans="2:5" ht="15.75">
      <c r="B56" s="122" t="s">
        <v>48</v>
      </c>
      <c r="C56" s="117">
        <f>C51+C52+C53+C54+C55</f>
        <v>178684.12925016589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3.05*(2567.7+0)</f>
        <v>7831.4849999999988</v>
      </c>
      <c r="D64" s="126" t="s">
        <v>576</v>
      </c>
      <c r="E64" s="200"/>
    </row>
    <row r="65" spans="2:8" ht="15.75">
      <c r="B65" s="130" t="s">
        <v>57</v>
      </c>
      <c r="C65" s="131">
        <f>1.49*(2567.7+0)</f>
        <v>3825.8729999999996</v>
      </c>
      <c r="D65" s="131" t="s">
        <v>847</v>
      </c>
      <c r="E65" s="200"/>
      <c r="H65" s="4"/>
    </row>
    <row r="66" spans="2:8">
      <c r="B66" s="78" t="s">
        <v>58</v>
      </c>
      <c r="C66" s="95">
        <f>(C49+C56)*0.341</f>
        <v>98461.208229241311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51110.895574998423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161229.46180423972</v>
      </c>
      <c r="D68" s="128"/>
      <c r="E68" s="200"/>
    </row>
    <row r="69" spans="2:8">
      <c r="B69" s="78" t="s">
        <v>59</v>
      </c>
      <c r="C69" s="95">
        <f>(C49+C56+C63+C68)*3%</f>
        <v>13499.160237931412</v>
      </c>
      <c r="D69" s="126"/>
      <c r="E69" s="200"/>
    </row>
    <row r="70" spans="2:8" ht="15.75">
      <c r="B70" s="133" t="s">
        <v>23</v>
      </c>
      <c r="C70" s="134">
        <f>C49+C56+C63+C68+C69</f>
        <v>463471.16816897847</v>
      </c>
      <c r="D70" s="135"/>
      <c r="E70" s="200"/>
    </row>
    <row r="71" spans="2:8" ht="15.75">
      <c r="B71" s="133" t="s">
        <v>60</v>
      </c>
      <c r="C71" s="134">
        <f>C70*1.18</f>
        <v>546895.97843939462</v>
      </c>
      <c r="D71" s="135"/>
      <c r="E71" s="108"/>
    </row>
    <row r="72" spans="2:8" ht="15.75">
      <c r="B72" s="136"/>
      <c r="C72" s="137">
        <f>C33-C71</f>
        <v>-56301.538439394673</v>
      </c>
      <c r="D72" s="138"/>
      <c r="E72" s="200"/>
    </row>
    <row r="73" spans="2:8" ht="30">
      <c r="B73" s="159" t="s">
        <v>106</v>
      </c>
      <c r="C73" s="188">
        <f>C71/(C14+C15)/12</f>
        <v>17.749217147622215</v>
      </c>
      <c r="D73" s="189" t="s">
        <v>139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7.5" customHeight="1">
      <c r="B76" s="348" t="s">
        <v>334</v>
      </c>
      <c r="C76" s="348"/>
      <c r="D76" s="348"/>
      <c r="E76" s="348"/>
    </row>
    <row r="77" spans="2:8" ht="25.5" customHeight="1">
      <c r="B77" s="348" t="s">
        <v>335</v>
      </c>
      <c r="C77" s="348"/>
      <c r="D77" s="348"/>
      <c r="E77" s="348"/>
    </row>
    <row r="78" spans="2:8" ht="1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213</v>
      </c>
      <c r="C81" s="344"/>
      <c r="D81" s="34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B3:K97"/>
  <sheetViews>
    <sheetView topLeftCell="A38" workbookViewId="0">
      <selection activeCell="D53" sqref="D53"/>
    </sheetView>
  </sheetViews>
  <sheetFormatPr defaultRowHeight="15"/>
  <cols>
    <col min="1" max="1" width="2.42578125" style="74" customWidth="1"/>
    <col min="2" max="2" width="43.5703125" style="47" customWidth="1"/>
    <col min="3" max="3" width="13.5703125" style="47" customWidth="1"/>
    <col min="4" max="4" width="33.42578125" style="47" customWidth="1"/>
    <col min="5" max="5" width="13.42578125" style="9" customWidth="1"/>
    <col min="6" max="6" width="4.28515625" style="74" customWidth="1"/>
    <col min="7" max="7" width="9.85546875" style="74" customWidth="1"/>
    <col min="8" max="8" width="9.140625" style="74"/>
    <col min="9" max="9" width="17.140625" style="74" customWidth="1"/>
    <col min="10" max="16384" width="9.140625" style="74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12.19</v>
      </c>
      <c r="K5" s="148" t="s">
        <v>186</v>
      </c>
    </row>
    <row r="6" spans="2:11" ht="15.75">
      <c r="D6" s="176"/>
      <c r="I6" s="147" t="s">
        <v>162</v>
      </c>
      <c r="J6" s="147">
        <v>3185.9</v>
      </c>
      <c r="K6" s="148"/>
    </row>
    <row r="7" spans="2:11" ht="15.75">
      <c r="D7" s="176" t="s">
        <v>297</v>
      </c>
      <c r="I7" s="147" t="s">
        <v>163</v>
      </c>
      <c r="J7" s="147">
        <v>80</v>
      </c>
      <c r="K7" s="148"/>
    </row>
    <row r="8" spans="2:11" ht="15.75">
      <c r="D8" s="66"/>
      <c r="I8" s="147" t="s">
        <v>164</v>
      </c>
      <c r="J8" s="283">
        <v>165</v>
      </c>
      <c r="K8" s="148"/>
    </row>
    <row r="9" spans="2:11" ht="15.75">
      <c r="D9" s="66"/>
      <c r="I9" s="149" t="s">
        <v>165</v>
      </c>
      <c r="J9" s="147">
        <v>12130</v>
      </c>
      <c r="K9" s="148"/>
    </row>
    <row r="10" spans="2:11" ht="31.5" customHeight="1">
      <c r="B10" s="346" t="s">
        <v>299</v>
      </c>
      <c r="C10" s="346"/>
      <c r="D10" s="346"/>
      <c r="E10" s="346"/>
      <c r="I10" s="147" t="s">
        <v>166</v>
      </c>
      <c r="J10" s="147">
        <v>15</v>
      </c>
      <c r="K10" s="148"/>
    </row>
    <row r="11" spans="2:11" ht="15" customHeight="1">
      <c r="B11" s="347" t="s">
        <v>196</v>
      </c>
      <c r="C11" s="347"/>
      <c r="D11" s="347"/>
      <c r="E11" s="347"/>
      <c r="I11" s="147" t="s">
        <v>167</v>
      </c>
      <c r="J11" s="147">
        <v>1148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175"/>
      <c r="C13" s="175"/>
      <c r="D13" s="175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3185.9</v>
      </c>
      <c r="D14" s="77" t="s">
        <v>61</v>
      </c>
      <c r="I14" s="147" t="s">
        <v>170</v>
      </c>
      <c r="J14" s="147">
        <v>1149.0999999999999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4351.3999999999996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477.34935831046101</v>
      </c>
      <c r="K17" s="148"/>
    </row>
    <row r="18" spans="2:11">
      <c r="B18" s="93" t="s">
        <v>7</v>
      </c>
      <c r="C18" s="198">
        <f>C14*12.19*12</f>
        <v>466033.45199999999</v>
      </c>
      <c r="D18" s="155" t="s">
        <v>577</v>
      </c>
      <c r="E18" s="199" t="s">
        <v>99</v>
      </c>
      <c r="I18" s="147" t="s">
        <v>174</v>
      </c>
      <c r="J18" s="147">
        <v>8.4700000000000006</v>
      </c>
      <c r="K18" s="148"/>
    </row>
    <row r="19" spans="2:11" ht="38.25">
      <c r="B19" s="94" t="s">
        <v>8</v>
      </c>
      <c r="C19" s="286">
        <f>165*(211.42*6*1/12+226.93*6*1/12)*1.18</f>
        <v>42673.372499999998</v>
      </c>
      <c r="D19" s="287" t="s">
        <v>578</v>
      </c>
      <c r="E19" s="200"/>
      <c r="I19" s="147" t="s">
        <v>175</v>
      </c>
      <c r="J19" s="150">
        <v>0.89</v>
      </c>
      <c r="K19" s="154">
        <f>(J15/3+J14)/2920</f>
        <v>0.89026255707762558</v>
      </c>
    </row>
    <row r="20" spans="2:11">
      <c r="B20" s="113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0.55555555555555558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J24/1180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</v>
      </c>
      <c r="K22" s="148"/>
    </row>
    <row r="23" spans="2:11">
      <c r="B23" s="100"/>
      <c r="C23" s="102"/>
      <c r="D23" s="182"/>
      <c r="E23" s="200"/>
      <c r="I23" s="74" t="s">
        <v>179</v>
      </c>
      <c r="K23" s="148"/>
    </row>
    <row r="24" spans="2:11" ht="15.75">
      <c r="B24" s="103" t="s">
        <v>10</v>
      </c>
      <c r="C24" s="65">
        <f>C18+C20</f>
        <v>466033.45199999999</v>
      </c>
      <c r="D24" s="83"/>
      <c r="E24" s="200"/>
      <c r="I24" s="148" t="s">
        <v>180</v>
      </c>
      <c r="J24" s="148"/>
      <c r="K24" s="148"/>
    </row>
    <row r="25" spans="2:11" ht="25.5">
      <c r="B25" s="104" t="s">
        <v>11</v>
      </c>
      <c r="C25" s="65">
        <f>C26+C27+C28+C29+C30+C31</f>
        <v>6839.76</v>
      </c>
      <c r="D25" s="83"/>
      <c r="E25" s="200"/>
      <c r="I25" s="74" t="s">
        <v>185</v>
      </c>
      <c r="J25" s="74">
        <v>289</v>
      </c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472873.212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(0.89*(3565+200)*1.5*1.15*1.083*1.302*3)+(0.89*(3708+200)*1.5*1.15*1.083*1.302*9)+(0.1*1149.1*12)</f>
        <v>101970.85940597548</v>
      </c>
      <c r="D36" s="291" t="s">
        <v>579</v>
      </c>
      <c r="E36" s="200" t="s">
        <v>100</v>
      </c>
      <c r="H36" s="68"/>
    </row>
    <row r="37" spans="2:8" ht="15.75">
      <c r="B37" s="113" t="s">
        <v>28</v>
      </c>
      <c r="C37" s="183"/>
      <c r="D37" s="184"/>
      <c r="E37" s="200"/>
      <c r="H37" s="68"/>
    </row>
    <row r="38" spans="2:8" ht="15.75">
      <c r="B38" s="113" t="s">
        <v>29</v>
      </c>
      <c r="C38" s="183"/>
      <c r="D38" s="184"/>
      <c r="E38" s="200"/>
      <c r="H38" s="68"/>
    </row>
    <row r="39" spans="2:8" s="7" customFormat="1" ht="51">
      <c r="B39" s="113" t="s">
        <v>30</v>
      </c>
      <c r="C39" s="292">
        <f>165*(360.84*0.025*3+362.52*0.025*3+382.25*0.025*6)</f>
        <v>18412.267500000002</v>
      </c>
      <c r="D39" s="293" t="s">
        <v>472</v>
      </c>
      <c r="E39" s="199" t="s">
        <v>101</v>
      </c>
      <c r="H39" s="68"/>
    </row>
    <row r="40" spans="2:8" ht="15.75">
      <c r="B40" s="113" t="s">
        <v>31</v>
      </c>
      <c r="C40" s="294">
        <f>(16.86+17.53)*80</f>
        <v>2751.2</v>
      </c>
      <c r="D40" s="295" t="s">
        <v>473</v>
      </c>
      <c r="E40" s="200" t="s">
        <v>102</v>
      </c>
      <c r="H40" s="68"/>
    </row>
    <row r="41" spans="2:8" ht="25.5">
      <c r="B41" s="113" t="s">
        <v>32</v>
      </c>
      <c r="C41" s="294">
        <f>(49.72+51.71)*2*0</f>
        <v>0</v>
      </c>
      <c r="D41" s="295" t="s">
        <v>317</v>
      </c>
      <c r="E41" s="200"/>
      <c r="H41" s="68"/>
    </row>
    <row r="42" spans="2:8" ht="15.75">
      <c r="B42" s="113" t="s">
        <v>33</v>
      </c>
      <c r="C42" s="185">
        <f>0.26*289*12</f>
        <v>901.68000000000006</v>
      </c>
      <c r="D42" s="155" t="s">
        <v>211</v>
      </c>
      <c r="E42" s="200" t="s">
        <v>99</v>
      </c>
      <c r="H42" s="68"/>
    </row>
    <row r="43" spans="2:8" ht="15.75">
      <c r="B43" s="115" t="s">
        <v>34</v>
      </c>
      <c r="C43" s="185">
        <f>1.02*289*4</f>
        <v>1179.1200000000001</v>
      </c>
      <c r="D43" s="155" t="s">
        <v>212</v>
      </c>
      <c r="E43" s="200" t="s">
        <v>103</v>
      </c>
      <c r="H43" s="68"/>
    </row>
    <row r="44" spans="2:8" ht="25.5">
      <c r="B44" s="94" t="s">
        <v>35</v>
      </c>
      <c r="C44" s="296">
        <f>(700.55*6+728.57*6)</f>
        <v>8574.7199999999993</v>
      </c>
      <c r="D44" s="297" t="s">
        <v>320</v>
      </c>
      <c r="E44" s="200" t="s">
        <v>99</v>
      </c>
      <c r="H44" s="68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/>
      <c r="H45" s="68"/>
    </row>
    <row r="46" spans="2:8" ht="50.25" customHeight="1">
      <c r="B46" s="94" t="s">
        <v>40</v>
      </c>
      <c r="C46" s="299">
        <f>165*(211.42*6*1/12+226.93*6*1/12)</f>
        <v>36163.875</v>
      </c>
      <c r="D46" s="297" t="s">
        <v>580</v>
      </c>
      <c r="E46" s="200" t="s">
        <v>101</v>
      </c>
      <c r="H46" s="68"/>
    </row>
    <row r="47" spans="2:8" ht="25.5">
      <c r="B47" s="94" t="s">
        <v>41</v>
      </c>
      <c r="C47" s="296">
        <f>0*(232.8*6+243.11*6)</f>
        <v>0</v>
      </c>
      <c r="D47" s="300" t="s">
        <v>393</v>
      </c>
      <c r="E47" s="200" t="s">
        <v>101</v>
      </c>
      <c r="H47" s="68"/>
    </row>
    <row r="48" spans="2:8" ht="15.75">
      <c r="B48" s="116" t="s">
        <v>42</v>
      </c>
      <c r="C48" s="117">
        <f>C36+C37+C38+C39+C40+C41+C42+C43+C44+C45+C46+C47</f>
        <v>169953.72190597546</v>
      </c>
      <c r="D48" s="118"/>
      <c r="E48" s="108"/>
    </row>
    <row r="49" spans="2:8">
      <c r="B49" s="113" t="s">
        <v>43</v>
      </c>
      <c r="C49" s="65"/>
      <c r="D49" s="83"/>
      <c r="E49" s="200"/>
    </row>
    <row r="50" spans="2:8" s="8" customFormat="1" ht="51">
      <c r="B50" s="119" t="s">
        <v>44</v>
      </c>
      <c r="C50" s="294">
        <f>(8.47*96.4189*3)+(8.47*100.2864*9)+(1.78*(C14+C15)*12)</f>
        <v>78145.660520999998</v>
      </c>
      <c r="D50" s="301" t="s">
        <v>581</v>
      </c>
      <c r="E50" s="204"/>
    </row>
    <row r="51" spans="2:8">
      <c r="B51" s="115" t="s">
        <v>45</v>
      </c>
      <c r="C51" s="65">
        <f>13.69*1148</f>
        <v>15716.119999999999</v>
      </c>
      <c r="D51" s="83" t="s">
        <v>518</v>
      </c>
      <c r="E51" s="200" t="s">
        <v>104</v>
      </c>
    </row>
    <row r="52" spans="2:8" ht="102">
      <c r="B52" s="172" t="s">
        <v>94</v>
      </c>
      <c r="C52" s="70">
        <f>17.51*(C14+C15)*0</f>
        <v>0</v>
      </c>
      <c r="D52" s="83" t="s">
        <v>582</v>
      </c>
      <c r="E52" s="200"/>
    </row>
    <row r="53" spans="2:8" ht="53.25" customHeight="1">
      <c r="B53" s="113" t="s">
        <v>46</v>
      </c>
      <c r="C53" s="294">
        <f>(632.04+251.07/3)*12130/1000</f>
        <v>8681.804900000001</v>
      </c>
      <c r="D53" s="301" t="s">
        <v>583</v>
      </c>
      <c r="E53" s="94" t="s">
        <v>105</v>
      </c>
    </row>
    <row r="54" spans="2:8" ht="51">
      <c r="B54" s="121" t="s">
        <v>47</v>
      </c>
      <c r="C54" s="302">
        <f>((477.35/12*3*96.4189)+(477.35/12*9*100.2864))+((477.35/12*3*96.4189)+(477.35/12*9*100.2864))/1.302*25%</f>
        <v>56513.511521950844</v>
      </c>
      <c r="D54" s="301" t="s">
        <v>584</v>
      </c>
      <c r="E54" s="200"/>
    </row>
    <row r="55" spans="2:8" ht="15.75">
      <c r="B55" s="122" t="s">
        <v>48</v>
      </c>
      <c r="C55" s="117">
        <f>C50+C51+C52+C53+C54</f>
        <v>159057.09694295086</v>
      </c>
      <c r="D55" s="118"/>
      <c r="E55" s="200"/>
    </row>
    <row r="56" spans="2:8">
      <c r="B56" s="121" t="s">
        <v>49</v>
      </c>
      <c r="C56" s="65"/>
      <c r="D56" s="83"/>
      <c r="E56" s="200"/>
    </row>
    <row r="57" spans="2:8" s="7" customFormat="1" ht="12.75">
      <c r="B57" s="123" t="s">
        <v>50</v>
      </c>
      <c r="C57" s="124"/>
      <c r="D57" s="125"/>
      <c r="E57" s="199"/>
    </row>
    <row r="58" spans="2:8">
      <c r="B58" s="121" t="s">
        <v>51</v>
      </c>
      <c r="C58" s="95"/>
      <c r="D58" s="126"/>
      <c r="E58" s="200"/>
    </row>
    <row r="59" spans="2:8">
      <c r="B59" s="121" t="s">
        <v>52</v>
      </c>
      <c r="C59" s="95"/>
      <c r="D59" s="126"/>
      <c r="E59" s="200"/>
    </row>
    <row r="60" spans="2:8">
      <c r="B60" s="121" t="s">
        <v>53</v>
      </c>
      <c r="C60" s="95"/>
      <c r="D60" s="126"/>
      <c r="E60" s="200"/>
    </row>
    <row r="61" spans="2:8">
      <c r="B61" s="121" t="s">
        <v>54</v>
      </c>
      <c r="C61" s="95"/>
      <c r="D61" s="126"/>
      <c r="E61" s="200"/>
    </row>
    <row r="62" spans="2:8" ht="15.75">
      <c r="B62" s="122" t="s">
        <v>55</v>
      </c>
      <c r="C62" s="127">
        <f>C57+C58</f>
        <v>0</v>
      </c>
      <c r="D62" s="128"/>
      <c r="E62" s="200"/>
    </row>
    <row r="63" spans="2:8">
      <c r="B63" s="129" t="s">
        <v>56</v>
      </c>
      <c r="C63" s="95">
        <f>3.05*(C14+C15)</f>
        <v>9716.994999999999</v>
      </c>
      <c r="D63" s="126" t="s">
        <v>585</v>
      </c>
      <c r="E63" s="200"/>
    </row>
    <row r="64" spans="2:8" ht="15.75">
      <c r="B64" s="130" t="s">
        <v>57</v>
      </c>
      <c r="C64" s="131">
        <f>1.49*(3185.9+0)</f>
        <v>4746.991</v>
      </c>
      <c r="D64" s="131" t="s">
        <v>848</v>
      </c>
      <c r="E64" s="200"/>
      <c r="H64" s="4"/>
    </row>
    <row r="65" spans="2:5">
      <c r="B65" s="78" t="s">
        <v>58</v>
      </c>
      <c r="C65" s="95">
        <f>(C48+C55)*0.341</f>
        <v>112192.68922748389</v>
      </c>
      <c r="D65" s="126" t="s">
        <v>331</v>
      </c>
      <c r="E65" s="200"/>
    </row>
    <row r="66" spans="2:5" ht="38.25">
      <c r="B66" s="78" t="s">
        <v>95</v>
      </c>
      <c r="C66" s="131">
        <f>(C48+C55+C65)*0.132</f>
        <v>58238.863066086153</v>
      </c>
      <c r="D66" s="126" t="s">
        <v>332</v>
      </c>
      <c r="E66" s="200" t="s">
        <v>99</v>
      </c>
    </row>
    <row r="67" spans="2:5" ht="15.75">
      <c r="B67" s="157" t="s">
        <v>96</v>
      </c>
      <c r="C67" s="127">
        <f>C63+C64+C65+C66</f>
        <v>184895.53829357005</v>
      </c>
      <c r="D67" s="128"/>
      <c r="E67" s="200"/>
    </row>
    <row r="68" spans="2:5">
      <c r="B68" s="78" t="s">
        <v>59</v>
      </c>
      <c r="C68" s="95">
        <f>(C48+C55+C62+C67)*3%</f>
        <v>15417.190714274891</v>
      </c>
      <c r="D68" s="126"/>
      <c r="E68" s="200"/>
    </row>
    <row r="69" spans="2:5" ht="15.75">
      <c r="B69" s="133" t="s">
        <v>23</v>
      </c>
      <c r="C69" s="134">
        <f>C48+C55+C62+C67+C68</f>
        <v>529323.54785677127</v>
      </c>
      <c r="D69" s="135"/>
      <c r="E69" s="200"/>
    </row>
    <row r="70" spans="2:5" ht="15.75">
      <c r="B70" s="133" t="s">
        <v>60</v>
      </c>
      <c r="C70" s="134">
        <f>C69*1.18</f>
        <v>624601.78647099005</v>
      </c>
      <c r="D70" s="135"/>
      <c r="E70" s="108"/>
    </row>
    <row r="71" spans="2:5" ht="15.75">
      <c r="B71" s="136"/>
      <c r="C71" s="137">
        <f>C33-C70</f>
        <v>-151728.57447099005</v>
      </c>
      <c r="D71" s="138"/>
      <c r="E71" s="200"/>
    </row>
    <row r="72" spans="2:5" ht="30">
      <c r="B72" s="159" t="s">
        <v>106</v>
      </c>
      <c r="C72" s="188">
        <f>C70/(C14+C15)/12</f>
        <v>16.337659334123011</v>
      </c>
      <c r="D72" s="189" t="s">
        <v>586</v>
      </c>
      <c r="E72" s="108"/>
    </row>
    <row r="73" spans="2:5">
      <c r="B73" s="161"/>
      <c r="C73" s="190"/>
      <c r="D73" s="191"/>
      <c r="E73" s="205"/>
    </row>
    <row r="74" spans="2:5" ht="15" customHeight="1">
      <c r="B74" s="345" t="s">
        <v>97</v>
      </c>
      <c r="C74" s="345"/>
      <c r="D74" s="345"/>
      <c r="E74" s="303"/>
    </row>
    <row r="75" spans="2:5" ht="36.75" customHeight="1">
      <c r="B75" s="348" t="s">
        <v>334</v>
      </c>
      <c r="C75" s="348"/>
      <c r="D75" s="348"/>
      <c r="E75" s="348"/>
    </row>
    <row r="76" spans="2:5" ht="29.25" customHeight="1">
      <c r="B76" s="348" t="s">
        <v>335</v>
      </c>
      <c r="C76" s="348"/>
      <c r="D76" s="348"/>
      <c r="E76" s="348"/>
    </row>
    <row r="77" spans="2:5" ht="15" customHeight="1">
      <c r="B77" s="163"/>
      <c r="C77" s="192"/>
      <c r="D77" s="193"/>
      <c r="E77" s="174"/>
    </row>
    <row r="78" spans="2:5">
      <c r="B78" s="163"/>
      <c r="C78" s="192"/>
      <c r="D78" s="193"/>
      <c r="E78" s="174"/>
    </row>
    <row r="79" spans="2:5">
      <c r="B79" s="164"/>
      <c r="C79" s="194"/>
      <c r="D79" s="195"/>
      <c r="E79" s="174"/>
    </row>
    <row r="80" spans="2:5">
      <c r="B80" s="344" t="s">
        <v>213</v>
      </c>
      <c r="C80" s="344"/>
      <c r="D80" s="344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</sheetData>
  <mergeCells count="6">
    <mergeCell ref="B80:D80"/>
    <mergeCell ref="B74:D74"/>
    <mergeCell ref="B10:E10"/>
    <mergeCell ref="B11:E12"/>
    <mergeCell ref="B75:E75"/>
    <mergeCell ref="B76:E76"/>
  </mergeCells>
  <pageMargins left="0.15748031496062992" right="0.15748031496062992" top="0.27559055118110237" bottom="0.23622047244094491" header="0.19685039370078741" footer="0.15748031496062992"/>
  <pageSetup paperSize="9" scale="9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B3:K98"/>
  <sheetViews>
    <sheetView topLeftCell="A41" workbookViewId="0">
      <selection activeCell="C51" sqref="C51:C5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140625" style="9" customWidth="1"/>
    <col min="6" max="6" width="4.28515625" style="62" customWidth="1"/>
    <col min="7" max="8" width="9.140625" style="62"/>
    <col min="9" max="9" width="17.710937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14.28</v>
      </c>
      <c r="K5" s="148" t="s">
        <v>186</v>
      </c>
    </row>
    <row r="6" spans="2:11" ht="15.75">
      <c r="D6" s="176"/>
      <c r="I6" s="147" t="s">
        <v>162</v>
      </c>
      <c r="J6" s="147">
        <v>3177.4</v>
      </c>
      <c r="K6" s="148"/>
    </row>
    <row r="7" spans="2:11" ht="15.75">
      <c r="D7" s="176" t="s">
        <v>297</v>
      </c>
      <c r="I7" s="147" t="s">
        <v>163</v>
      </c>
      <c r="J7" s="147">
        <v>79</v>
      </c>
      <c r="K7" s="148"/>
    </row>
    <row r="8" spans="2:11" ht="15.75">
      <c r="D8" s="66"/>
      <c r="I8" s="147" t="s">
        <v>164</v>
      </c>
      <c r="J8" s="283">
        <v>189</v>
      </c>
      <c r="K8" s="148"/>
    </row>
    <row r="9" spans="2:11" ht="15.75">
      <c r="D9" s="66"/>
      <c r="I9" s="149" t="s">
        <v>165</v>
      </c>
      <c r="J9" s="147">
        <v>12904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15</v>
      </c>
      <c r="K10" s="148"/>
    </row>
    <row r="11" spans="2:11" ht="15" customHeight="1">
      <c r="B11" s="347" t="s">
        <v>122</v>
      </c>
      <c r="C11" s="347"/>
      <c r="D11" s="347"/>
      <c r="E11" s="347"/>
      <c r="I11" s="147" t="s">
        <v>167</v>
      </c>
      <c r="J11" s="147">
        <v>1147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f>J6</f>
        <v>3177.4</v>
      </c>
      <c r="D14" s="77" t="s">
        <v>61</v>
      </c>
      <c r="I14" s="147" t="s">
        <v>170</v>
      </c>
      <c r="J14" s="147">
        <v>1570.4</v>
      </c>
      <c r="K14" s="148"/>
    </row>
    <row r="15" spans="2:11" s="6" customFormat="1" ht="15.75">
      <c r="B15" s="86" t="s">
        <v>3</v>
      </c>
      <c r="C15" s="87">
        <v>32</v>
      </c>
      <c r="D15" s="88"/>
      <c r="E15" s="89"/>
      <c r="I15" s="147" t="s">
        <v>171</v>
      </c>
      <c r="J15" s="6">
        <v>2574.5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475.40111894580701</v>
      </c>
      <c r="K17" s="148"/>
    </row>
    <row r="18" spans="2:11">
      <c r="B18" s="93" t="s">
        <v>7</v>
      </c>
      <c r="C18" s="198">
        <f>C14*14.28*12</f>
        <v>544479.26399999997</v>
      </c>
      <c r="D18" s="155" t="s">
        <v>587</v>
      </c>
      <c r="E18" s="199" t="s">
        <v>99</v>
      </c>
      <c r="I18" s="147" t="s">
        <v>174</v>
      </c>
      <c r="J18" s="147">
        <v>8.5299999999999994</v>
      </c>
      <c r="K18" s="148"/>
    </row>
    <row r="19" spans="2:11" ht="38.25">
      <c r="B19" s="94" t="s">
        <v>8</v>
      </c>
      <c r="C19" s="286">
        <f>189*(211.42*6*1.45/12+226.93*6*1.45/12)*1.18</f>
        <v>70876.592324999991</v>
      </c>
      <c r="D19" s="287" t="s">
        <v>588</v>
      </c>
      <c r="E19" s="200"/>
      <c r="I19" s="147" t="s">
        <v>175</v>
      </c>
      <c r="J19" s="150">
        <v>0.83</v>
      </c>
      <c r="K19" s="154">
        <f>(J15/3+J14)/2920</f>
        <v>0.83170091324200912</v>
      </c>
    </row>
    <row r="20" spans="2:11">
      <c r="B20" s="96" t="s">
        <v>9</v>
      </c>
      <c r="C20" s="95">
        <f>C21</f>
        <v>13098.460727999998</v>
      </c>
      <c r="D20" s="97"/>
      <c r="E20" s="200"/>
      <c r="I20" s="151" t="s">
        <v>176</v>
      </c>
      <c r="J20" s="151"/>
      <c r="K20" s="154">
        <f>J7/144</f>
        <v>0.54861111111111116</v>
      </c>
    </row>
    <row r="21" spans="2:11">
      <c r="B21" s="78" t="s">
        <v>258</v>
      </c>
      <c r="C21" s="98">
        <f>C22+C23</f>
        <v>13098.460727999998</v>
      </c>
      <c r="D21" s="99"/>
      <c r="E21" s="200"/>
      <c r="I21" s="152" t="s">
        <v>177</v>
      </c>
      <c r="J21" s="153"/>
      <c r="K21" s="154">
        <f>J24/1180</f>
        <v>0</v>
      </c>
    </row>
    <row r="22" spans="2:11">
      <c r="B22" s="100" t="s">
        <v>63</v>
      </c>
      <c r="C22" s="178">
        <f>32*14.28*12</f>
        <v>5483.5199999999995</v>
      </c>
      <c r="D22" s="181" t="s">
        <v>589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288">
        <f>2.26*(232.8*1.18*6+243.11*1.18*6)</f>
        <v>7614.9407279999996</v>
      </c>
      <c r="D23" s="289" t="s">
        <v>590</v>
      </c>
      <c r="E23" s="200" t="s">
        <v>99</v>
      </c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557577.724728</v>
      </c>
      <c r="D24" s="83"/>
      <c r="E24" s="200"/>
      <c r="I24" s="148" t="s">
        <v>180</v>
      </c>
      <c r="J24" s="148"/>
      <c r="K24" s="148"/>
    </row>
    <row r="25" spans="2:11">
      <c r="B25" s="104" t="s">
        <v>11</v>
      </c>
      <c r="C25" s="65">
        <f>C26+C27+C28+C29+C30+C31</f>
        <v>6839.76</v>
      </c>
      <c r="D25" s="83"/>
      <c r="E25" s="200"/>
      <c r="I25" s="74" t="s">
        <v>181</v>
      </c>
      <c r="J25" s="62">
        <v>265</v>
      </c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564417.48472800001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(0.83*(3565+200)*1.5*1.15*1.083*1.302*3)+(0.83*(3708+200)*1.5*1.15*1.083*1.302*9)+(0.1*1570.4*12)</f>
        <v>95694.940344898481</v>
      </c>
      <c r="D36" s="291" t="s">
        <v>591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189*(360.84*0.025*3+362.52*0.025*3+382.25*0.025*6)</f>
        <v>21090.415499999999</v>
      </c>
      <c r="D39" s="293" t="s">
        <v>592</v>
      </c>
      <c r="E39" s="199" t="s">
        <v>101</v>
      </c>
      <c r="H39" s="3"/>
    </row>
    <row r="40" spans="2:8" ht="15.75">
      <c r="B40" s="113" t="s">
        <v>31</v>
      </c>
      <c r="C40" s="294">
        <f>(16.86+17.53)*79</f>
        <v>2716.81</v>
      </c>
      <c r="D40" s="295" t="s">
        <v>593</v>
      </c>
      <c r="E40" s="200" t="s">
        <v>102</v>
      </c>
      <c r="H40" s="3"/>
    </row>
    <row r="41" spans="2:8" ht="25.5">
      <c r="B41" s="113" t="s">
        <v>32</v>
      </c>
      <c r="C41" s="294">
        <f>(49.72+51.71)*2*0</f>
        <v>0</v>
      </c>
      <c r="D41" s="295" t="s">
        <v>317</v>
      </c>
      <c r="E41" s="200"/>
      <c r="H41" s="3"/>
    </row>
    <row r="42" spans="2:8" ht="15.75">
      <c r="B42" s="113" t="s">
        <v>33</v>
      </c>
      <c r="C42" s="185">
        <f>0.26*265*12</f>
        <v>826.80000000000007</v>
      </c>
      <c r="D42" s="155" t="s">
        <v>259</v>
      </c>
      <c r="E42" s="200" t="s">
        <v>99</v>
      </c>
      <c r="H42" s="3"/>
    </row>
    <row r="43" spans="2:8" ht="15.75">
      <c r="B43" s="115" t="s">
        <v>34</v>
      </c>
      <c r="C43" s="185">
        <f>1.02*265*4</f>
        <v>1081.2</v>
      </c>
      <c r="D43" s="155" t="s">
        <v>260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/>
      <c r="H45" s="3"/>
    </row>
    <row r="46" spans="2:8" ht="15.75" hidden="1">
      <c r="B46" s="94" t="s">
        <v>38</v>
      </c>
      <c r="C46" s="70">
        <f>0*2*12</f>
        <v>0</v>
      </c>
      <c r="D46" s="69" t="s">
        <v>39</v>
      </c>
      <c r="E46" s="200"/>
      <c r="H46" s="3"/>
    </row>
    <row r="47" spans="2:8" ht="50.25" customHeight="1">
      <c r="B47" s="94" t="s">
        <v>40</v>
      </c>
      <c r="C47" s="299">
        <f>189*(211.42*6*1.45/12+226.93*6*1.45/12)</f>
        <v>60064.908749999995</v>
      </c>
      <c r="D47" s="297" t="s">
        <v>594</v>
      </c>
      <c r="E47" s="200" t="s">
        <v>101</v>
      </c>
      <c r="H47" s="3"/>
    </row>
    <row r="48" spans="2:8" ht="25.5">
      <c r="B48" s="94" t="s">
        <v>41</v>
      </c>
      <c r="C48" s="296">
        <f>2.26*(232.8*6+243.11*6)</f>
        <v>6453.3395999999993</v>
      </c>
      <c r="D48" s="300" t="s">
        <v>595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187928.41419489848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(8.53*96.4189*3)+(8.53*100.2864*9)+(1.78*(C14+C15)*12)</f>
        <v>78719.130579000004</v>
      </c>
      <c r="D51" s="301" t="s">
        <v>596</v>
      </c>
      <c r="E51" s="204"/>
    </row>
    <row r="52" spans="2:5">
      <c r="B52" s="115" t="s">
        <v>45</v>
      </c>
      <c r="C52" s="65">
        <f>13.69*1147</f>
        <v>15702.43</v>
      </c>
      <c r="D52" s="83" t="s">
        <v>348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597</v>
      </c>
      <c r="E53" s="200"/>
    </row>
    <row r="54" spans="2:5" ht="51">
      <c r="B54" s="113" t="s">
        <v>46</v>
      </c>
      <c r="C54" s="294">
        <f>(632.04+251.07/3)*12904/1000</f>
        <v>9235.779919999999</v>
      </c>
      <c r="D54" s="301" t="s">
        <v>598</v>
      </c>
      <c r="E54" s="94" t="s">
        <v>105</v>
      </c>
    </row>
    <row r="55" spans="2:5" ht="51">
      <c r="B55" s="121" t="s">
        <v>47</v>
      </c>
      <c r="C55" s="302">
        <f>((475.4/12*3*96.4189)+(475.4/12*9*100.2864))+((475.4/12*3*96.4189)+(475.4/12*9*100.2864))/1.302*25%</f>
        <v>56282.650838033798</v>
      </c>
      <c r="D55" s="301" t="s">
        <v>599</v>
      </c>
      <c r="E55" s="200"/>
    </row>
    <row r="56" spans="2:5" ht="15.75">
      <c r="B56" s="122" t="s">
        <v>48</v>
      </c>
      <c r="C56" s="117">
        <f>C51+C52+C53+C54+C55</f>
        <v>159939.9913370338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3.05*(C14+C15)</f>
        <v>9788.67</v>
      </c>
      <c r="D64" s="126" t="s">
        <v>600</v>
      </c>
      <c r="E64" s="200"/>
    </row>
    <row r="65" spans="2:8" ht="15.75">
      <c r="B65" s="130" t="s">
        <v>57</v>
      </c>
      <c r="C65" s="131">
        <f>1.49*(C14+C15)</f>
        <v>4782.0060000000003</v>
      </c>
      <c r="D65" s="131" t="s">
        <v>849</v>
      </c>
      <c r="E65" s="200"/>
      <c r="H65" s="4"/>
    </row>
    <row r="66" spans="2:8">
      <c r="B66" s="78" t="s">
        <v>58</v>
      </c>
      <c r="C66" s="95">
        <f>(C49+C56)*0.341</f>
        <v>118623.12628638891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61576.882200018394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194770.68448640729</v>
      </c>
      <c r="D68" s="128"/>
      <c r="E68" s="200"/>
    </row>
    <row r="69" spans="2:8">
      <c r="B69" s="78" t="s">
        <v>59</v>
      </c>
      <c r="C69" s="95">
        <f>(C49+C56+C63+C68)*3%</f>
        <v>16279.172700550187</v>
      </c>
      <c r="D69" s="126"/>
      <c r="E69" s="200"/>
    </row>
    <row r="70" spans="2:8" ht="15.75">
      <c r="B70" s="133" t="s">
        <v>23</v>
      </c>
      <c r="C70" s="134">
        <f>C49+C56+C63+C68+C69</f>
        <v>558918.26271888975</v>
      </c>
      <c r="D70" s="135"/>
      <c r="E70" s="200"/>
    </row>
    <row r="71" spans="2:8" ht="15.75">
      <c r="B71" s="133" t="s">
        <v>60</v>
      </c>
      <c r="C71" s="134">
        <f>C70*1.18</f>
        <v>659523.55000828987</v>
      </c>
      <c r="D71" s="135"/>
      <c r="E71" s="108"/>
    </row>
    <row r="72" spans="2:8" ht="15.75">
      <c r="B72" s="136"/>
      <c r="C72" s="137">
        <f>C33-C71</f>
        <v>-95106.065280289855</v>
      </c>
      <c r="D72" s="138"/>
      <c r="E72" s="200"/>
    </row>
    <row r="73" spans="2:8" ht="30">
      <c r="B73" s="159" t="s">
        <v>106</v>
      </c>
      <c r="C73" s="188">
        <f>C71/(C14+C15)/12</f>
        <v>17.124788382259659</v>
      </c>
      <c r="D73" s="189" t="s">
        <v>261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2.25" customHeight="1">
      <c r="B76" s="348" t="s">
        <v>334</v>
      </c>
      <c r="C76" s="348"/>
      <c r="D76" s="348"/>
      <c r="E76" s="348"/>
    </row>
    <row r="77" spans="2:8" ht="25.5" customHeight="1">
      <c r="B77" s="348" t="s">
        <v>335</v>
      </c>
      <c r="C77" s="348"/>
      <c r="D77" s="348"/>
      <c r="E77" s="348"/>
    </row>
    <row r="78" spans="2:8" ht="24.7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213</v>
      </c>
      <c r="C81" s="344"/>
      <c r="D81" s="34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B3:K101"/>
  <sheetViews>
    <sheetView topLeftCell="A51" workbookViewId="0">
      <selection activeCell="C54" sqref="C54:C58"/>
    </sheetView>
  </sheetViews>
  <sheetFormatPr defaultRowHeight="15"/>
  <cols>
    <col min="1" max="1" width="4" style="74" customWidth="1"/>
    <col min="2" max="2" width="44.7109375" style="47" customWidth="1"/>
    <col min="3" max="3" width="14.5703125" style="47" customWidth="1"/>
    <col min="4" max="4" width="33.42578125" style="47" customWidth="1"/>
    <col min="5" max="5" width="16.140625" style="9" customWidth="1"/>
    <col min="6" max="6" width="4.85546875" style="74" customWidth="1"/>
    <col min="7" max="8" width="9.140625" style="74"/>
    <col min="9" max="9" width="15.85546875" style="74" customWidth="1"/>
    <col min="10" max="16384" width="9.140625" style="74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15.7</v>
      </c>
      <c r="K5" s="148" t="s">
        <v>186</v>
      </c>
    </row>
    <row r="6" spans="2:11" ht="15.75">
      <c r="D6" s="176"/>
      <c r="I6" s="147" t="s">
        <v>162</v>
      </c>
      <c r="J6" s="147">
        <v>3138.4</v>
      </c>
      <c r="K6" s="148"/>
    </row>
    <row r="7" spans="2:11" ht="15.75">
      <c r="D7" s="176" t="s">
        <v>297</v>
      </c>
      <c r="I7" s="147" t="s">
        <v>163</v>
      </c>
      <c r="J7" s="147">
        <v>78</v>
      </c>
      <c r="K7" s="148"/>
    </row>
    <row r="8" spans="2:11" ht="15.75">
      <c r="D8" s="66"/>
      <c r="I8" s="147" t="s">
        <v>164</v>
      </c>
      <c r="J8" s="283">
        <v>169</v>
      </c>
      <c r="K8" s="148"/>
    </row>
    <row r="9" spans="2:11" ht="15.75">
      <c r="D9" s="66"/>
      <c r="I9" s="149" t="s">
        <v>165</v>
      </c>
      <c r="J9" s="147">
        <v>12907</v>
      </c>
      <c r="K9" s="148"/>
    </row>
    <row r="10" spans="2:11" ht="32.25" customHeight="1">
      <c r="B10" s="346" t="s">
        <v>299</v>
      </c>
      <c r="C10" s="346"/>
      <c r="D10" s="346"/>
      <c r="E10" s="346"/>
      <c r="I10" s="147" t="s">
        <v>166</v>
      </c>
      <c r="J10" s="147">
        <v>15</v>
      </c>
      <c r="K10" s="148"/>
    </row>
    <row r="11" spans="2:11" ht="15" customHeight="1">
      <c r="B11" s="347" t="s">
        <v>150</v>
      </c>
      <c r="C11" s="347"/>
      <c r="D11" s="347"/>
      <c r="E11" s="347"/>
      <c r="I11" s="147" t="s">
        <v>167</v>
      </c>
      <c r="J11" s="147">
        <v>1159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3138.4</v>
      </c>
      <c r="D14" s="77" t="s">
        <v>61</v>
      </c>
      <c r="I14" s="147" t="s">
        <v>170</v>
      </c>
      <c r="J14" s="147">
        <v>1338.8</v>
      </c>
      <c r="K14" s="148"/>
    </row>
    <row r="15" spans="2:11" s="6" customFormat="1" ht="15.75">
      <c r="B15" s="86" t="s">
        <v>3</v>
      </c>
      <c r="C15" s="87">
        <v>118.6</v>
      </c>
      <c r="D15" s="88"/>
      <c r="E15" s="89"/>
      <c r="I15" s="147" t="s">
        <v>171</v>
      </c>
      <c r="J15" s="6">
        <v>2973.5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469.45278286720901</v>
      </c>
      <c r="K17" s="148"/>
    </row>
    <row r="18" spans="2:11">
      <c r="B18" s="93" t="s">
        <v>7</v>
      </c>
      <c r="C18" s="198">
        <f>C14*15.7*12</f>
        <v>591274.55999999994</v>
      </c>
      <c r="D18" s="155" t="s">
        <v>601</v>
      </c>
      <c r="E18" s="199" t="s">
        <v>99</v>
      </c>
      <c r="I18" s="147" t="s">
        <v>174</v>
      </c>
      <c r="J18" s="147">
        <v>8.5299999999999994</v>
      </c>
      <c r="K18" s="148"/>
    </row>
    <row r="19" spans="2:11" ht="38.25">
      <c r="B19" s="94" t="s">
        <v>8</v>
      </c>
      <c r="C19" s="286">
        <f>169*(211.42*6*1.45/12+226.93*6*1.45/12)*1.18</f>
        <v>63376.423824999991</v>
      </c>
      <c r="D19" s="287" t="s">
        <v>602</v>
      </c>
      <c r="E19" s="200"/>
      <c r="I19" s="147" t="s">
        <v>175</v>
      </c>
      <c r="J19" s="150">
        <v>0.8</v>
      </c>
      <c r="K19" s="154">
        <f>(J15/3+J14)/2920</f>
        <v>0.79793378995433795</v>
      </c>
    </row>
    <row r="20" spans="2:11">
      <c r="B20" s="96" t="s">
        <v>9</v>
      </c>
      <c r="C20" s="95">
        <f>C21+C24</f>
        <v>29251.597739999997</v>
      </c>
      <c r="D20" s="97"/>
      <c r="E20" s="200"/>
      <c r="I20" s="151" t="s">
        <v>176</v>
      </c>
      <c r="J20" s="151"/>
      <c r="K20" s="154">
        <f>J7/144</f>
        <v>0.54166666666666663</v>
      </c>
    </row>
    <row r="21" spans="2:11">
      <c r="B21" s="78" t="s">
        <v>151</v>
      </c>
      <c r="C21" s="98">
        <f>C22+C23</f>
        <v>11572.448076000001</v>
      </c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 t="s">
        <v>63</v>
      </c>
      <c r="C22" s="178">
        <f>40.5*15.7*12</f>
        <v>7630.2000000000007</v>
      </c>
      <c r="D22" s="181" t="s">
        <v>603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288">
        <f>1.17*(232.8*1.18*6+243.11*1.18*6)</f>
        <v>3942.2480759999999</v>
      </c>
      <c r="D23" s="289" t="s">
        <v>372</v>
      </c>
      <c r="E23" s="200" t="s">
        <v>99</v>
      </c>
      <c r="G23" s="74">
        <v>1.17</v>
      </c>
      <c r="I23" s="74" t="s">
        <v>179</v>
      </c>
      <c r="K23" s="148"/>
    </row>
    <row r="24" spans="2:11">
      <c r="B24" s="78" t="s">
        <v>197</v>
      </c>
      <c r="C24" s="98">
        <f>C25+C26</f>
        <v>17679.149663999997</v>
      </c>
      <c r="D24" s="99"/>
      <c r="E24" s="200"/>
      <c r="I24" s="148" t="s">
        <v>180</v>
      </c>
      <c r="J24" s="148"/>
      <c r="K24" s="154">
        <f>J30/1180</f>
        <v>0</v>
      </c>
    </row>
    <row r="25" spans="2:11">
      <c r="B25" s="100" t="s">
        <v>63</v>
      </c>
      <c r="C25" s="178">
        <f>78.1*15.7*12</f>
        <v>14714.039999999997</v>
      </c>
      <c r="D25" s="181" t="s">
        <v>604</v>
      </c>
      <c r="E25" s="200" t="s">
        <v>99</v>
      </c>
      <c r="I25" s="74" t="s">
        <v>181</v>
      </c>
      <c r="J25" s="74">
        <v>229</v>
      </c>
      <c r="K25" s="148"/>
    </row>
    <row r="26" spans="2:11" ht="25.5">
      <c r="B26" s="100" t="s">
        <v>64</v>
      </c>
      <c r="C26" s="288">
        <f>0.88*(232.8*1.18*6+243.11*1.18*6)</f>
        <v>2965.1096640000001</v>
      </c>
      <c r="D26" s="289" t="s">
        <v>367</v>
      </c>
      <c r="E26" s="200" t="s">
        <v>99</v>
      </c>
      <c r="G26" s="74">
        <v>0.88</v>
      </c>
      <c r="K26" s="148"/>
    </row>
    <row r="27" spans="2:11" ht="15.75">
      <c r="B27" s="103" t="s">
        <v>10</v>
      </c>
      <c r="C27" s="65">
        <f>C18+C20</f>
        <v>620526.15773999994</v>
      </c>
      <c r="D27" s="83"/>
      <c r="E27" s="200"/>
      <c r="I27" s="148"/>
      <c r="J27" s="148"/>
      <c r="K27" s="148"/>
    </row>
    <row r="28" spans="2:11">
      <c r="B28" s="104" t="s">
        <v>11</v>
      </c>
      <c r="C28" s="65">
        <f>C29+C30+C31+C32+C33+C34</f>
        <v>6839.76</v>
      </c>
      <c r="D28" s="83"/>
      <c r="E28" s="200"/>
    </row>
    <row r="29" spans="2:11">
      <c r="B29" s="78" t="s">
        <v>12</v>
      </c>
      <c r="C29" s="65">
        <f>34.98*12</f>
        <v>419.76</v>
      </c>
      <c r="D29" s="83" t="s">
        <v>13</v>
      </c>
      <c r="E29" s="200" t="s">
        <v>99</v>
      </c>
    </row>
    <row r="30" spans="2:11">
      <c r="B30" s="78" t="s">
        <v>14</v>
      </c>
      <c r="C30" s="65">
        <f>137.5*12</f>
        <v>1650</v>
      </c>
      <c r="D30" s="83" t="s">
        <v>15</v>
      </c>
      <c r="E30" s="200" t="s">
        <v>99</v>
      </c>
    </row>
    <row r="31" spans="2:11">
      <c r="B31" s="78" t="s">
        <v>16</v>
      </c>
      <c r="C31" s="65">
        <f>123.75*12</f>
        <v>1485</v>
      </c>
      <c r="D31" s="83" t="s">
        <v>17</v>
      </c>
      <c r="E31" s="200" t="s">
        <v>99</v>
      </c>
    </row>
    <row r="32" spans="2:11">
      <c r="B32" s="78" t="s">
        <v>18</v>
      </c>
      <c r="C32" s="65">
        <f>123.75*12</f>
        <v>1485</v>
      </c>
      <c r="D32" s="83" t="s">
        <v>17</v>
      </c>
      <c r="E32" s="200" t="s">
        <v>99</v>
      </c>
    </row>
    <row r="33" spans="2:8">
      <c r="B33" s="78" t="s">
        <v>19</v>
      </c>
      <c r="C33" s="65">
        <f>150*12</f>
        <v>1800</v>
      </c>
      <c r="D33" s="83" t="s">
        <v>20</v>
      </c>
      <c r="E33" s="200" t="s">
        <v>99</v>
      </c>
    </row>
    <row r="34" spans="2:8">
      <c r="B34" s="78" t="s">
        <v>69</v>
      </c>
      <c r="C34" s="65">
        <f>137.5*12*0</f>
        <v>0</v>
      </c>
      <c r="D34" s="83" t="s">
        <v>15</v>
      </c>
      <c r="E34" s="200"/>
    </row>
    <row r="35" spans="2:8">
      <c r="B35" s="104" t="s">
        <v>21</v>
      </c>
      <c r="C35" s="65">
        <v>0</v>
      </c>
      <c r="D35" s="83"/>
      <c r="E35" s="200"/>
    </row>
    <row r="36" spans="2:8" ht="18.75">
      <c r="B36" s="105" t="s">
        <v>23</v>
      </c>
      <c r="C36" s="106">
        <f>C27+C28+C35</f>
        <v>627365.91773999995</v>
      </c>
      <c r="D36" s="83"/>
      <c r="E36" s="108"/>
    </row>
    <row r="37" spans="2:8" ht="15.75">
      <c r="B37" s="91" t="s">
        <v>24</v>
      </c>
      <c r="C37" s="109" t="s">
        <v>5</v>
      </c>
      <c r="D37" s="202" t="s">
        <v>25</v>
      </c>
      <c r="E37" s="200"/>
    </row>
    <row r="38" spans="2:8" ht="15.75">
      <c r="B38" s="111" t="s">
        <v>26</v>
      </c>
      <c r="C38" s="95"/>
      <c r="D38" s="121"/>
      <c r="E38" s="200"/>
      <c r="H38" s="2"/>
    </row>
    <row r="39" spans="2:8" ht="51">
      <c r="B39" s="113" t="s">
        <v>27</v>
      </c>
      <c r="C39" s="290">
        <f>(0.8*(3565+200)*1.5*1.15*1.083*1.302*3)+(0.8*(3708+200)*1.5*1.15*1.083*1.302*9)+(0.1*1338.8*12)</f>
        <v>92026.280814359983</v>
      </c>
      <c r="D39" s="291" t="s">
        <v>605</v>
      </c>
      <c r="E39" s="200" t="s">
        <v>100</v>
      </c>
      <c r="H39" s="68"/>
    </row>
    <row r="40" spans="2:8" ht="15.75">
      <c r="B40" s="113" t="s">
        <v>28</v>
      </c>
      <c r="C40" s="183"/>
      <c r="D40" s="184"/>
      <c r="E40" s="200"/>
      <c r="H40" s="68"/>
    </row>
    <row r="41" spans="2:8" ht="15.75">
      <c r="B41" s="113" t="s">
        <v>29</v>
      </c>
      <c r="C41" s="183"/>
      <c r="D41" s="184"/>
      <c r="E41" s="200"/>
      <c r="H41" s="68"/>
    </row>
    <row r="42" spans="2:8" s="7" customFormat="1" ht="51">
      <c r="B42" s="113" t="s">
        <v>30</v>
      </c>
      <c r="C42" s="292">
        <f>169*(360.84*0.025*3+362.52*0.025*3+382.25*0.025*6)</f>
        <v>18858.625500000002</v>
      </c>
      <c r="D42" s="293" t="s">
        <v>606</v>
      </c>
      <c r="E42" s="199" t="s">
        <v>101</v>
      </c>
      <c r="H42" s="68"/>
    </row>
    <row r="43" spans="2:8" ht="15.75">
      <c r="B43" s="113" t="s">
        <v>31</v>
      </c>
      <c r="C43" s="294">
        <f>(16.86+17.53)*78</f>
        <v>2682.42</v>
      </c>
      <c r="D43" s="295" t="s">
        <v>622</v>
      </c>
      <c r="E43" s="200" t="s">
        <v>102</v>
      </c>
      <c r="H43" s="68"/>
    </row>
    <row r="44" spans="2:8" ht="25.5">
      <c r="B44" s="113" t="s">
        <v>32</v>
      </c>
      <c r="C44" s="294">
        <f>(49.72+51.71)*2*0</f>
        <v>0</v>
      </c>
      <c r="D44" s="295" t="s">
        <v>317</v>
      </c>
      <c r="E44" s="200"/>
      <c r="H44" s="68"/>
    </row>
    <row r="45" spans="2:8" ht="15.75">
      <c r="B45" s="113" t="s">
        <v>33</v>
      </c>
      <c r="C45" s="185">
        <f>0.26*229*12</f>
        <v>714.48</v>
      </c>
      <c r="D45" s="155" t="s">
        <v>262</v>
      </c>
      <c r="E45" s="200" t="s">
        <v>99</v>
      </c>
      <c r="H45" s="68"/>
    </row>
    <row r="46" spans="2:8" ht="15.75">
      <c r="B46" s="115" t="s">
        <v>34</v>
      </c>
      <c r="C46" s="185">
        <f>1.02*229*4</f>
        <v>934.32</v>
      </c>
      <c r="D46" s="155" t="s">
        <v>263</v>
      </c>
      <c r="E46" s="200" t="s">
        <v>103</v>
      </c>
      <c r="H46" s="68"/>
    </row>
    <row r="47" spans="2:8" ht="25.5">
      <c r="B47" s="94" t="s">
        <v>35</v>
      </c>
      <c r="C47" s="296">
        <f>(700.55*6+728.57*6)</f>
        <v>8574.7199999999993</v>
      </c>
      <c r="D47" s="297" t="s">
        <v>320</v>
      </c>
      <c r="E47" s="200" t="s">
        <v>99</v>
      </c>
      <c r="H47" s="68"/>
    </row>
    <row r="48" spans="2:8" ht="25.5">
      <c r="B48" s="94" t="s">
        <v>70</v>
      </c>
      <c r="C48" s="298">
        <f>(695.13*6+722.94*6)*0</f>
        <v>0</v>
      </c>
      <c r="D48" s="297" t="s">
        <v>321</v>
      </c>
      <c r="E48" s="200" t="s">
        <v>99</v>
      </c>
      <c r="H48" s="68"/>
    </row>
    <row r="49" spans="2:8" ht="15.75" hidden="1">
      <c r="B49" s="94" t="s">
        <v>38</v>
      </c>
      <c r="C49" s="70">
        <f>0*2*12</f>
        <v>0</v>
      </c>
      <c r="D49" s="69" t="s">
        <v>39</v>
      </c>
      <c r="E49" s="200"/>
      <c r="H49" s="68"/>
    </row>
    <row r="50" spans="2:8" ht="50.25" customHeight="1">
      <c r="B50" s="94" t="s">
        <v>40</v>
      </c>
      <c r="C50" s="299">
        <f>169*(211.42*6*1.45/12+226.93*6*1.45/12)</f>
        <v>53708.833749999998</v>
      </c>
      <c r="D50" s="297" t="s">
        <v>607</v>
      </c>
      <c r="E50" s="200" t="s">
        <v>101</v>
      </c>
      <c r="H50" s="68"/>
    </row>
    <row r="51" spans="2:8" ht="25.5">
      <c r="B51" s="94" t="s">
        <v>41</v>
      </c>
      <c r="C51" s="296">
        <f>2.05*(232.8*6+243.11*6)</f>
        <v>5853.6929999999993</v>
      </c>
      <c r="D51" s="300" t="s">
        <v>608</v>
      </c>
      <c r="E51" s="200" t="s">
        <v>101</v>
      </c>
      <c r="H51" s="68"/>
    </row>
    <row r="52" spans="2:8" ht="15.75">
      <c r="B52" s="116" t="s">
        <v>42</v>
      </c>
      <c r="C52" s="117">
        <f>C39+C40+C41+C42+C43+C44+C45+C46+C47+C48+C49+C50+C51</f>
        <v>183353.37306435997</v>
      </c>
      <c r="D52" s="118"/>
      <c r="E52" s="108"/>
    </row>
    <row r="53" spans="2:8">
      <c r="B53" s="113" t="s">
        <v>43</v>
      </c>
      <c r="C53" s="65"/>
      <c r="D53" s="83"/>
      <c r="E53" s="200"/>
    </row>
    <row r="54" spans="2:8" s="8" customFormat="1" ht="51">
      <c r="B54" s="119" t="s">
        <v>44</v>
      </c>
      <c r="C54" s="294">
        <f>(8.53*96.4189*3)+(8.53*100.2864*9)+(1.78*(C14+C15)*12)</f>
        <v>79735.866579000009</v>
      </c>
      <c r="D54" s="301" t="s">
        <v>609</v>
      </c>
      <c r="E54" s="204"/>
    </row>
    <row r="55" spans="2:8">
      <c r="B55" s="115" t="s">
        <v>45</v>
      </c>
      <c r="C55" s="65">
        <f>13.69*1159</f>
        <v>15866.71</v>
      </c>
      <c r="D55" s="83" t="s">
        <v>610</v>
      </c>
      <c r="E55" s="200" t="s">
        <v>104</v>
      </c>
    </row>
    <row r="56" spans="2:8" ht="89.25">
      <c r="B56" s="172" t="s">
        <v>94</v>
      </c>
      <c r="C56" s="70">
        <f>17.51*(C14+C15)</f>
        <v>57030.070000000007</v>
      </c>
      <c r="D56" s="83" t="s">
        <v>611</v>
      </c>
      <c r="E56" s="200"/>
    </row>
    <row r="57" spans="2:8" ht="51">
      <c r="B57" s="113" t="s">
        <v>46</v>
      </c>
      <c r="C57" s="294">
        <f>(632.04+251.07/3)*12907/1000</f>
        <v>9237.9271099999987</v>
      </c>
      <c r="D57" s="301" t="s">
        <v>612</v>
      </c>
      <c r="E57" s="94" t="s">
        <v>105</v>
      </c>
    </row>
    <row r="58" spans="2:8" ht="51">
      <c r="B58" s="121" t="s">
        <v>47</v>
      </c>
      <c r="C58" s="302">
        <f>((469.45/12*3*96.4189)+(469.45/12*9*100.2864))+((469.45/12*3*96.4189)+(469.45/12*9*100.2864))/1.302*25%</f>
        <v>55578.229776850996</v>
      </c>
      <c r="D58" s="301" t="s">
        <v>613</v>
      </c>
      <c r="E58" s="200"/>
    </row>
    <row r="59" spans="2:8" ht="15.75">
      <c r="B59" s="122" t="s">
        <v>48</v>
      </c>
      <c r="C59" s="117">
        <f>C54+C55+C56+C57+C58</f>
        <v>217448.803465851</v>
      </c>
      <c r="D59" s="118"/>
      <c r="E59" s="200"/>
    </row>
    <row r="60" spans="2:8">
      <c r="B60" s="121" t="s">
        <v>49</v>
      </c>
      <c r="C60" s="65"/>
      <c r="D60" s="83"/>
      <c r="E60" s="200"/>
    </row>
    <row r="61" spans="2:8" s="7" customFormat="1" ht="12.75">
      <c r="B61" s="123" t="s">
        <v>50</v>
      </c>
      <c r="C61" s="124"/>
      <c r="D61" s="125"/>
      <c r="E61" s="199"/>
    </row>
    <row r="62" spans="2:8">
      <c r="B62" s="121" t="s">
        <v>51</v>
      </c>
      <c r="C62" s="95"/>
      <c r="D62" s="126"/>
      <c r="E62" s="200"/>
    </row>
    <row r="63" spans="2:8">
      <c r="B63" s="121" t="s">
        <v>52</v>
      </c>
      <c r="C63" s="95"/>
      <c r="D63" s="126"/>
      <c r="E63" s="200"/>
    </row>
    <row r="64" spans="2:8">
      <c r="B64" s="121" t="s">
        <v>53</v>
      </c>
      <c r="C64" s="95"/>
      <c r="D64" s="126"/>
      <c r="E64" s="200"/>
    </row>
    <row r="65" spans="2:8">
      <c r="B65" s="121" t="s">
        <v>54</v>
      </c>
      <c r="C65" s="95"/>
      <c r="D65" s="126"/>
      <c r="E65" s="200"/>
    </row>
    <row r="66" spans="2:8" ht="15.75">
      <c r="B66" s="122" t="s">
        <v>55</v>
      </c>
      <c r="C66" s="127">
        <f>C61+C62</f>
        <v>0</v>
      </c>
      <c r="D66" s="128"/>
      <c r="E66" s="200"/>
    </row>
    <row r="67" spans="2:8">
      <c r="B67" s="129" t="s">
        <v>56</v>
      </c>
      <c r="C67" s="95">
        <f>3.05*(C14+C15)</f>
        <v>9933.8499999999985</v>
      </c>
      <c r="D67" s="126" t="s">
        <v>614</v>
      </c>
      <c r="E67" s="200"/>
    </row>
    <row r="68" spans="2:8" ht="15.75">
      <c r="B68" s="130" t="s">
        <v>57</v>
      </c>
      <c r="C68" s="131">
        <f>1.49*(C14+C15)</f>
        <v>4852.93</v>
      </c>
      <c r="D68" s="131" t="s">
        <v>850</v>
      </c>
      <c r="E68" s="200"/>
      <c r="H68" s="4"/>
    </row>
    <row r="69" spans="2:8">
      <c r="B69" s="78" t="s">
        <v>58</v>
      </c>
      <c r="C69" s="95">
        <f>(C52+C59)*0.341</f>
        <v>136673.54219680195</v>
      </c>
      <c r="D69" s="126" t="s">
        <v>331</v>
      </c>
      <c r="E69" s="200"/>
    </row>
    <row r="70" spans="2:8" ht="38.25">
      <c r="B70" s="78" t="s">
        <v>95</v>
      </c>
      <c r="C70" s="131">
        <f>(C52+C59+C69)*0.132</f>
        <v>70946.794871965714</v>
      </c>
      <c r="D70" s="126" t="s">
        <v>332</v>
      </c>
      <c r="E70" s="200" t="s">
        <v>99</v>
      </c>
    </row>
    <row r="71" spans="2:8" ht="15.75">
      <c r="B71" s="157" t="s">
        <v>96</v>
      </c>
      <c r="C71" s="127">
        <f>C67+C68+C69+C70</f>
        <v>222407.11706876766</v>
      </c>
      <c r="D71" s="128"/>
      <c r="E71" s="200"/>
    </row>
    <row r="72" spans="2:8">
      <c r="B72" s="78" t="s">
        <v>59</v>
      </c>
      <c r="C72" s="95">
        <f>(C52+C59+C66+C71)*3%</f>
        <v>18696.27880796936</v>
      </c>
      <c r="D72" s="126"/>
      <c r="E72" s="200"/>
    </row>
    <row r="73" spans="2:8" ht="15.75">
      <c r="B73" s="133" t="s">
        <v>23</v>
      </c>
      <c r="C73" s="134">
        <f>C52+C59+C66+C71+C72</f>
        <v>641905.57240694808</v>
      </c>
      <c r="D73" s="135"/>
      <c r="E73" s="200"/>
    </row>
    <row r="74" spans="2:8" ht="15.75">
      <c r="B74" s="133" t="s">
        <v>60</v>
      </c>
      <c r="C74" s="134">
        <f>C73*1.18</f>
        <v>757448.57544019865</v>
      </c>
      <c r="D74" s="135"/>
      <c r="E74" s="108"/>
    </row>
    <row r="75" spans="2:8" ht="15.75">
      <c r="B75" s="136"/>
      <c r="C75" s="137">
        <f>C36-C74</f>
        <v>-130082.6577001987</v>
      </c>
      <c r="D75" s="138"/>
      <c r="E75" s="200"/>
    </row>
    <row r="76" spans="2:8" ht="30">
      <c r="B76" s="159" t="s">
        <v>106</v>
      </c>
      <c r="C76" s="188">
        <f>C74/(C14+C15)/12</f>
        <v>19.380016770038857</v>
      </c>
      <c r="D76" s="189" t="s">
        <v>198</v>
      </c>
      <c r="E76" s="108"/>
    </row>
    <row r="77" spans="2:8">
      <c r="B77" s="161"/>
      <c r="C77" s="190"/>
      <c r="D77" s="191"/>
      <c r="E77" s="205"/>
    </row>
    <row r="78" spans="2:8" ht="15" customHeight="1">
      <c r="B78" s="345" t="s">
        <v>97</v>
      </c>
      <c r="C78" s="345"/>
      <c r="D78" s="345"/>
      <c r="E78" s="303"/>
    </row>
    <row r="79" spans="2:8" ht="32.25" customHeight="1">
      <c r="B79" s="348" t="s">
        <v>334</v>
      </c>
      <c r="C79" s="348"/>
      <c r="D79" s="348"/>
      <c r="E79" s="348"/>
    </row>
    <row r="80" spans="2:8" ht="30" customHeight="1">
      <c r="B80" s="348" t="s">
        <v>335</v>
      </c>
      <c r="C80" s="348"/>
      <c r="D80" s="348"/>
      <c r="E80" s="348"/>
    </row>
    <row r="81" spans="2:5" ht="15" customHeight="1">
      <c r="B81" s="163"/>
      <c r="C81" s="192"/>
      <c r="D81" s="193"/>
      <c r="E81" s="174"/>
    </row>
    <row r="82" spans="2:5">
      <c r="B82" s="163"/>
      <c r="C82" s="192"/>
      <c r="D82" s="193"/>
      <c r="E82" s="174"/>
    </row>
    <row r="83" spans="2:5">
      <c r="B83" s="164"/>
      <c r="C83" s="194"/>
      <c r="D83" s="195"/>
      <c r="E83" s="174"/>
    </row>
    <row r="84" spans="2:5">
      <c r="B84" s="344" t="s">
        <v>213</v>
      </c>
      <c r="C84" s="344"/>
      <c r="D84" s="344"/>
    </row>
    <row r="94" spans="2:5" s="9" customFormat="1">
      <c r="B94" s="47"/>
      <c r="C94" s="47"/>
      <c r="D94" s="47"/>
    </row>
    <row r="95" spans="2:5" s="9" customFormat="1">
      <c r="B95" s="47"/>
      <c r="C95" s="47"/>
      <c r="D95" s="47"/>
    </row>
    <row r="96" spans="2:5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  <row r="99" spans="2:4" s="9" customFormat="1">
      <c r="B99" s="47"/>
      <c r="C99" s="47"/>
      <c r="D99" s="47"/>
    </row>
    <row r="100" spans="2:4" s="9" customFormat="1">
      <c r="B100" s="47"/>
      <c r="C100" s="47"/>
      <c r="D100" s="47"/>
    </row>
    <row r="101" spans="2:4" s="9" customFormat="1">
      <c r="B101" s="47"/>
      <c r="C101" s="47"/>
      <c r="D101" s="47"/>
    </row>
  </sheetData>
  <mergeCells count="6">
    <mergeCell ref="B84:D84"/>
    <mergeCell ref="B78:D78"/>
    <mergeCell ref="B10:E10"/>
    <mergeCell ref="B11:E12"/>
    <mergeCell ref="B79:E79"/>
    <mergeCell ref="B80:E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3:K95"/>
  <sheetViews>
    <sheetView workbookViewId="0">
      <selection activeCell="R15" sqref="R15"/>
    </sheetView>
  </sheetViews>
  <sheetFormatPr defaultRowHeight="15"/>
  <cols>
    <col min="1" max="1" width="4" style="5" customWidth="1"/>
    <col min="2" max="2" width="44.7109375" style="47" customWidth="1"/>
    <col min="3" max="3" width="14.5703125" style="47" customWidth="1"/>
    <col min="4" max="4" width="33.42578125" style="47" customWidth="1"/>
    <col min="5" max="5" width="15.7109375" style="9" customWidth="1"/>
    <col min="6" max="6" width="6.5703125" style="5" customWidth="1"/>
    <col min="7" max="7" width="0" style="5" hidden="1" customWidth="1"/>
    <col min="8" max="8" width="5.140625" style="5" hidden="1" customWidth="1"/>
    <col min="9" max="9" width="14.5703125" style="5" hidden="1" customWidth="1"/>
    <col min="10" max="12" width="0" style="5" hidden="1" customWidth="1"/>
    <col min="13" max="16384" width="9.140625" style="5"/>
  </cols>
  <sheetData>
    <row r="3" spans="2:11" ht="15.75">
      <c r="D3" s="176" t="s">
        <v>0</v>
      </c>
      <c r="E3" s="174"/>
      <c r="G3" s="220">
        <v>42856</v>
      </c>
    </row>
    <row r="4" spans="2:11" ht="15.75">
      <c r="D4" s="176" t="s">
        <v>298</v>
      </c>
      <c r="E4" s="174"/>
    </row>
    <row r="5" spans="2:11" ht="15.75">
      <c r="D5" s="176" t="s">
        <v>206</v>
      </c>
      <c r="E5" s="174"/>
      <c r="I5" s="146" t="s">
        <v>160</v>
      </c>
      <c r="J5" s="283">
        <v>14.83</v>
      </c>
      <c r="K5" s="148" t="s">
        <v>186</v>
      </c>
    </row>
    <row r="6" spans="2:11" ht="15" customHeight="1">
      <c r="D6" s="176"/>
      <c r="E6" s="174"/>
      <c r="I6" s="147" t="s">
        <v>162</v>
      </c>
      <c r="J6" s="147">
        <v>2517.6999999999998</v>
      </c>
      <c r="K6" s="148"/>
    </row>
    <row r="7" spans="2:11" ht="15.75">
      <c r="D7" s="176" t="s">
        <v>297</v>
      </c>
      <c r="E7" s="174"/>
      <c r="I7" s="147" t="s">
        <v>163</v>
      </c>
      <c r="J7" s="147">
        <v>64</v>
      </c>
      <c r="K7" s="148"/>
    </row>
    <row r="8" spans="2:11" ht="16.5" customHeight="1">
      <c r="D8" s="66"/>
      <c r="I8" s="147" t="s">
        <v>164</v>
      </c>
      <c r="J8" s="283">
        <v>121</v>
      </c>
      <c r="K8" s="148"/>
    </row>
    <row r="9" spans="2:11" ht="13.5" customHeight="1">
      <c r="D9" s="66"/>
      <c r="I9" s="149" t="s">
        <v>165</v>
      </c>
      <c r="J9" s="147">
        <v>9882</v>
      </c>
      <c r="K9" s="148"/>
    </row>
    <row r="10" spans="2:11" ht="32.450000000000003" customHeight="1">
      <c r="B10" s="346" t="s">
        <v>299</v>
      </c>
      <c r="C10" s="346"/>
      <c r="D10" s="346"/>
      <c r="E10" s="346"/>
      <c r="I10" s="147" t="s">
        <v>166</v>
      </c>
      <c r="J10" s="147">
        <v>121.6</v>
      </c>
      <c r="K10" s="148"/>
    </row>
    <row r="11" spans="2:11" ht="13.9" customHeight="1">
      <c r="B11" s="346" t="s">
        <v>93</v>
      </c>
      <c r="C11" s="346"/>
      <c r="D11" s="346"/>
      <c r="E11" s="346"/>
      <c r="I11" s="147" t="s">
        <v>167</v>
      </c>
      <c r="J11" s="147">
        <v>1147</v>
      </c>
      <c r="K11" s="148"/>
    </row>
    <row r="12" spans="2:11" ht="19.5" customHeight="1">
      <c r="B12" s="346"/>
      <c r="C12" s="346"/>
      <c r="D12" s="346"/>
      <c r="E12" s="346"/>
      <c r="I12" s="147" t="s">
        <v>168</v>
      </c>
      <c r="J12" s="147">
        <v>0</v>
      </c>
      <c r="K12" s="148"/>
    </row>
    <row r="13" spans="2:11" ht="12.75" customHeight="1">
      <c r="B13" s="208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2517.6999999999998</v>
      </c>
      <c r="D14" s="77" t="s">
        <v>61</v>
      </c>
      <c r="I14" s="147" t="s">
        <v>170</v>
      </c>
      <c r="J14" s="147">
        <v>1077</v>
      </c>
      <c r="K14" s="148"/>
    </row>
    <row r="15" spans="2:11" s="6" customFormat="1" ht="15.75">
      <c r="B15" s="86" t="s">
        <v>3</v>
      </c>
      <c r="C15" s="87">
        <v>83.5</v>
      </c>
      <c r="D15" s="88"/>
      <c r="E15" s="89"/>
      <c r="I15" s="147" t="s">
        <v>171</v>
      </c>
      <c r="J15" s="6">
        <v>2843</v>
      </c>
      <c r="K15" s="148"/>
    </row>
    <row r="16" spans="2:11" s="6" customFormat="1" ht="16.5" customHeight="1">
      <c r="B16" s="86"/>
      <c r="C16" s="87"/>
      <c r="D16" s="88"/>
      <c r="E16" s="89"/>
      <c r="I16" s="147" t="s">
        <v>172</v>
      </c>
      <c r="J16" s="147">
        <v>64</v>
      </c>
      <c r="K16" s="148"/>
    </row>
    <row r="17" spans="2:11" ht="30.75" customHeight="1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354.39399969631899</v>
      </c>
      <c r="K17" s="148"/>
    </row>
    <row r="18" spans="2:11">
      <c r="B18" s="93" t="s">
        <v>7</v>
      </c>
      <c r="C18" s="198">
        <f>C14*14.83*12</f>
        <v>448049.89199999993</v>
      </c>
      <c r="D18" s="155" t="s">
        <v>336</v>
      </c>
      <c r="E18" s="199" t="s">
        <v>99</v>
      </c>
      <c r="I18" s="147" t="s">
        <v>174</v>
      </c>
      <c r="J18" s="147">
        <v>6.61</v>
      </c>
      <c r="K18" s="148"/>
    </row>
    <row r="19" spans="2:11" ht="38.25">
      <c r="B19" s="94" t="s">
        <v>8</v>
      </c>
      <c r="C19" s="325">
        <f>121*(211.42*6*1.45/12+226.93*6*1.45/12)*1.18</f>
        <v>45376.019424999991</v>
      </c>
      <c r="D19" s="326" t="s">
        <v>337</v>
      </c>
      <c r="E19" s="200"/>
      <c r="I19" s="147" t="s">
        <v>175</v>
      </c>
      <c r="J19" s="150">
        <v>0.69</v>
      </c>
      <c r="K19" s="154">
        <f>(J15/3+J14)/2920</f>
        <v>0.69337899543378989</v>
      </c>
    </row>
    <row r="20" spans="2:11">
      <c r="B20" s="96" t="s">
        <v>9</v>
      </c>
      <c r="C20" s="95">
        <f>C21</f>
        <v>18498.658223999999</v>
      </c>
      <c r="D20" s="97"/>
      <c r="E20" s="200"/>
      <c r="I20" s="151" t="s">
        <v>176</v>
      </c>
      <c r="J20" s="151"/>
      <c r="K20" s="148"/>
    </row>
    <row r="21" spans="2:11">
      <c r="B21" s="78" t="s">
        <v>339</v>
      </c>
      <c r="C21" s="98">
        <f>C22+C23</f>
        <v>18498.658223999999</v>
      </c>
      <c r="D21" s="99"/>
      <c r="E21" s="200"/>
      <c r="I21" s="152" t="s">
        <v>177</v>
      </c>
      <c r="J21" s="153"/>
      <c r="K21" s="148"/>
    </row>
    <row r="22" spans="2:11">
      <c r="B22" s="100" t="s">
        <v>63</v>
      </c>
      <c r="C22" s="198">
        <f>83.5*14.83*12</f>
        <v>14859.66</v>
      </c>
      <c r="D22" s="229" t="s">
        <v>338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327">
        <f>1.08*(232.8*1.18*6+243.11*1.18*6)</f>
        <v>3638.9982240000004</v>
      </c>
      <c r="D23" s="328" t="s">
        <v>314</v>
      </c>
      <c r="E23" s="200" t="s">
        <v>99</v>
      </c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466548.55022399995</v>
      </c>
      <c r="D24" s="83"/>
      <c r="E24" s="200"/>
      <c r="I24" s="148" t="s">
        <v>180</v>
      </c>
      <c r="J24" s="148"/>
      <c r="K24" s="148"/>
    </row>
    <row r="25" spans="2:11">
      <c r="B25" s="104" t="s">
        <v>11</v>
      </c>
      <c r="C25" s="65">
        <f>C26+C27+C28+C29+C30+C31</f>
        <v>6689.76</v>
      </c>
      <c r="D25" s="83"/>
      <c r="E25" s="200" t="s">
        <v>99</v>
      </c>
      <c r="I25" s="74" t="s">
        <v>185</v>
      </c>
      <c r="J25" s="74">
        <v>121.6</v>
      </c>
      <c r="K25" s="74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150*12*0</f>
        <v>0</v>
      </c>
      <c r="D30" s="83" t="s">
        <v>20</v>
      </c>
      <c r="E30" s="200"/>
    </row>
    <row r="31" spans="2:11">
      <c r="B31" s="78" t="s">
        <v>69</v>
      </c>
      <c r="C31" s="65">
        <f>137.5*12</f>
        <v>1650</v>
      </c>
      <c r="D31" s="83" t="s">
        <v>15</v>
      </c>
      <c r="E31" s="200" t="s">
        <v>99</v>
      </c>
    </row>
    <row r="32" spans="2:11">
      <c r="B32" s="104" t="s">
        <v>21</v>
      </c>
      <c r="C32" s="65">
        <v>0</v>
      </c>
      <c r="D32" s="83"/>
      <c r="E32" s="200"/>
      <c r="G32" s="5" t="s">
        <v>22</v>
      </c>
    </row>
    <row r="33" spans="2:8" ht="18.75">
      <c r="B33" s="105" t="s">
        <v>23</v>
      </c>
      <c r="C33" s="106">
        <f>C24+C25+C32</f>
        <v>473238.31022399996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329">
        <f>(0.69*(3565+200)*1.5*1.15*1.083*1.302*3)+(0.69*(3708+200)*1.5*1.15*1.083*1.302*9)+(0.1*1077*12)</f>
        <v>79279.40920238549</v>
      </c>
      <c r="D36" s="330" t="s">
        <v>340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331">
        <f>121*(360.84*0.025*3+362.52*0.025*3+382.25*0.025*6)</f>
        <v>13502.3295</v>
      </c>
      <c r="D39" s="332" t="s">
        <v>341</v>
      </c>
      <c r="E39" s="199" t="s">
        <v>101</v>
      </c>
      <c r="H39" s="3"/>
    </row>
    <row r="40" spans="2:8" ht="15.75">
      <c r="B40" s="113" t="s">
        <v>31</v>
      </c>
      <c r="C40" s="333">
        <f>(16.86+17.53)*64</f>
        <v>2200.96</v>
      </c>
      <c r="D40" s="334" t="s">
        <v>342</v>
      </c>
      <c r="E40" s="200" t="s">
        <v>102</v>
      </c>
      <c r="H40" s="3"/>
    </row>
    <row r="41" spans="2:8" ht="25.5">
      <c r="B41" s="113" t="s">
        <v>32</v>
      </c>
      <c r="C41" s="333">
        <f>(49.72+51.71)*2*64</f>
        <v>12983.04</v>
      </c>
      <c r="D41" s="334" t="s">
        <v>343</v>
      </c>
      <c r="E41" s="200" t="s">
        <v>103</v>
      </c>
      <c r="H41" s="3"/>
    </row>
    <row r="42" spans="2:8" ht="15.75">
      <c r="B42" s="113" t="s">
        <v>33</v>
      </c>
      <c r="C42" s="185">
        <f>0.26*121.6*12</f>
        <v>379.392</v>
      </c>
      <c r="D42" s="155" t="s">
        <v>344</v>
      </c>
      <c r="E42" s="200" t="s">
        <v>99</v>
      </c>
      <c r="H42" s="3"/>
    </row>
    <row r="43" spans="2:8" ht="15.75">
      <c r="B43" s="115" t="s">
        <v>34</v>
      </c>
      <c r="C43" s="185">
        <f>1.02*121.6*4</f>
        <v>496.12799999999999</v>
      </c>
      <c r="D43" s="155" t="s">
        <v>222</v>
      </c>
      <c r="E43" s="200" t="s">
        <v>103</v>
      </c>
      <c r="H43" s="3"/>
    </row>
    <row r="44" spans="2:8" ht="25.5">
      <c r="B44" s="94" t="s">
        <v>35</v>
      </c>
      <c r="C44" s="335">
        <f>(700.55*6+728.57*6)</f>
        <v>8574.7199999999993</v>
      </c>
      <c r="D44" s="336" t="s">
        <v>320</v>
      </c>
      <c r="E44" s="200" t="s">
        <v>99</v>
      </c>
      <c r="H44" s="3"/>
    </row>
    <row r="45" spans="2:8" ht="25.5">
      <c r="B45" s="94" t="s">
        <v>70</v>
      </c>
      <c r="C45" s="337">
        <f>(695.13*6+722.94*6)*0</f>
        <v>0</v>
      </c>
      <c r="D45" s="336" t="s">
        <v>321</v>
      </c>
      <c r="E45" s="200" t="s">
        <v>99</v>
      </c>
      <c r="H45" s="3"/>
    </row>
    <row r="46" spans="2:8" ht="15.75">
      <c r="B46" s="94" t="s">
        <v>216</v>
      </c>
      <c r="C46" s="70">
        <f>315.17*12</f>
        <v>3782.04</v>
      </c>
      <c r="D46" s="69" t="s">
        <v>865</v>
      </c>
      <c r="E46" s="200"/>
      <c r="H46" s="3"/>
    </row>
    <row r="47" spans="2:8" ht="50.25" customHeight="1">
      <c r="B47" s="94" t="s">
        <v>40</v>
      </c>
      <c r="C47" s="338">
        <f>121*(211.42*6*1.45/12+226.93*6*1.45/12)</f>
        <v>38454.253749999996</v>
      </c>
      <c r="D47" s="336" t="s">
        <v>345</v>
      </c>
      <c r="E47" s="200" t="s">
        <v>101</v>
      </c>
      <c r="H47" s="3"/>
    </row>
    <row r="48" spans="2:8" ht="25.5">
      <c r="B48" s="94" t="s">
        <v>41</v>
      </c>
      <c r="C48" s="335">
        <f>1.08*(232.8*6+243.11*6)</f>
        <v>3083.8968000000004</v>
      </c>
      <c r="D48" s="339" t="s">
        <v>346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162736.16925238547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333">
        <f>(6.61*96.4189*3)+(6.61*100.2864*9)+(1.78*(C14+C15)*12)</f>
        <v>63439.656723</v>
      </c>
      <c r="D51" s="340" t="s">
        <v>347</v>
      </c>
      <c r="E51" s="204"/>
    </row>
    <row r="52" spans="2:5">
      <c r="B52" s="115" t="s">
        <v>45</v>
      </c>
      <c r="C52" s="65">
        <f>13.69*1147</f>
        <v>15702.43</v>
      </c>
      <c r="D52" s="83" t="s">
        <v>348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349</v>
      </c>
      <c r="E53" s="200"/>
    </row>
    <row r="54" spans="2:5" ht="51">
      <c r="B54" s="113" t="s">
        <v>46</v>
      </c>
      <c r="C54" s="333">
        <f>(632.04+251.07/3)*9882/1000</f>
        <v>7072.8438599999999</v>
      </c>
      <c r="D54" s="340" t="s">
        <v>350</v>
      </c>
      <c r="E54" s="94" t="s">
        <v>105</v>
      </c>
    </row>
    <row r="55" spans="2:5" ht="51">
      <c r="B55" s="121" t="s">
        <v>47</v>
      </c>
      <c r="C55" s="341">
        <f>((354.39/12*3*96.4189)+(354.39/12*9*100.2864))+((354.39/12*3*96.4189)+(354.39/12*9*100.2864))/1.302*25%</f>
        <v>41956.265524801842</v>
      </c>
      <c r="D55" s="340" t="s">
        <v>351</v>
      </c>
      <c r="E55" s="200"/>
    </row>
    <row r="56" spans="2:5" ht="15.75">
      <c r="B56" s="122" t="s">
        <v>48</v>
      </c>
      <c r="C56" s="117">
        <f>C51+C52+C53+C54+C55</f>
        <v>128171.19610780184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3.05*(C14+C15)</f>
        <v>7933.6599999999989</v>
      </c>
      <c r="D64" s="126" t="s">
        <v>352</v>
      </c>
      <c r="E64" s="200"/>
    </row>
    <row r="65" spans="2:8" ht="15.75">
      <c r="B65" s="130" t="s">
        <v>57</v>
      </c>
      <c r="C65" s="131">
        <f>1.49*(2517.7+83.5)</f>
        <v>3875.7879999999996</v>
      </c>
      <c r="D65" s="319" t="s">
        <v>833</v>
      </c>
      <c r="E65" s="200"/>
      <c r="H65" s="4"/>
    </row>
    <row r="66" spans="2:8">
      <c r="B66" s="78" t="s">
        <v>58</v>
      </c>
      <c r="C66" s="95">
        <f>(C49+C56)*0.341</f>
        <v>99199.411587823881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51494.094557137476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162502.95414496138</v>
      </c>
      <c r="D68" s="128"/>
      <c r="E68" s="200"/>
    </row>
    <row r="69" spans="2:8">
      <c r="B69" s="78" t="s">
        <v>59</v>
      </c>
      <c r="C69" s="95">
        <f>(C49+C56+C63+C68)*3%</f>
        <v>13602.30958515446</v>
      </c>
      <c r="D69" s="126"/>
      <c r="E69" s="200"/>
    </row>
    <row r="70" spans="2:8" ht="15.75">
      <c r="B70" s="133" t="s">
        <v>23</v>
      </c>
      <c r="C70" s="134">
        <f>C49+C56+C63+C68+C69</f>
        <v>467012.62909030315</v>
      </c>
      <c r="D70" s="135"/>
      <c r="E70" s="200"/>
    </row>
    <row r="71" spans="2:8" ht="15.75">
      <c r="B71" s="133" t="s">
        <v>60</v>
      </c>
      <c r="C71" s="134">
        <f>C70*1.18</f>
        <v>551074.90232655767</v>
      </c>
      <c r="D71" s="135"/>
      <c r="E71" s="108"/>
    </row>
    <row r="72" spans="2:8" ht="15.75">
      <c r="B72" s="136"/>
      <c r="C72" s="137">
        <f>C33-C71</f>
        <v>-77836.592102557712</v>
      </c>
      <c r="D72" s="138"/>
      <c r="E72" s="200"/>
    </row>
    <row r="73" spans="2:8" ht="30">
      <c r="B73" s="159" t="s">
        <v>106</v>
      </c>
      <c r="C73" s="188">
        <f>C71/(C14+C15)/12</f>
        <v>17.654508890978448</v>
      </c>
      <c r="D73" s="189" t="s">
        <v>353</v>
      </c>
      <c r="E73" s="108"/>
    </row>
    <row r="74" spans="2:8">
      <c r="B74" s="161"/>
      <c r="C74" s="190"/>
      <c r="D74" s="191"/>
    </row>
    <row r="75" spans="2:8" ht="15" customHeight="1">
      <c r="B75" s="345" t="s">
        <v>97</v>
      </c>
      <c r="C75" s="345"/>
      <c r="D75" s="345"/>
      <c r="E75" s="303"/>
    </row>
    <row r="76" spans="2:8" ht="31.5" customHeight="1">
      <c r="B76" s="348" t="s">
        <v>334</v>
      </c>
      <c r="C76" s="348"/>
      <c r="D76" s="348"/>
      <c r="E76" s="348"/>
    </row>
    <row r="77" spans="2:8" ht="27.75" customHeight="1">
      <c r="B77" s="348" t="s">
        <v>335</v>
      </c>
      <c r="C77" s="348"/>
      <c r="D77" s="348"/>
      <c r="E77" s="348"/>
    </row>
    <row r="78" spans="2:8">
      <c r="B78" s="163"/>
      <c r="C78" s="192"/>
      <c r="D78" s="193"/>
    </row>
    <row r="79" spans="2:8">
      <c r="B79" s="163"/>
      <c r="C79" s="192"/>
      <c r="D79" s="193"/>
    </row>
    <row r="80" spans="2:8">
      <c r="B80" s="164"/>
      <c r="C80" s="194"/>
      <c r="D80" s="195"/>
    </row>
    <row r="81" spans="2:4">
      <c r="B81" s="344" t="s">
        <v>208</v>
      </c>
      <c r="C81" s="344"/>
      <c r="D81" s="344"/>
    </row>
    <row r="88" spans="2:4" s="9" customFormat="1">
      <c r="B88" s="47"/>
      <c r="C88" s="47"/>
      <c r="D88" s="47"/>
    </row>
    <row r="89" spans="2:4" s="9" customFormat="1">
      <c r="B89" s="47"/>
      <c r="C89" s="47"/>
      <c r="D89" s="47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3:K98"/>
  <sheetViews>
    <sheetView tabSelected="1" topLeftCell="A4" workbookViewId="0">
      <selection activeCell="R18" sqref="R18"/>
    </sheetView>
  </sheetViews>
  <sheetFormatPr defaultRowHeight="15"/>
  <cols>
    <col min="1" max="1" width="4" style="74" customWidth="1"/>
    <col min="2" max="2" width="44.7109375" style="47" customWidth="1"/>
    <col min="3" max="3" width="14.5703125" style="47" customWidth="1"/>
    <col min="4" max="4" width="33.42578125" style="47" customWidth="1"/>
    <col min="5" max="5" width="16.42578125" style="9" customWidth="1"/>
    <col min="6" max="6" width="4.140625" style="74" customWidth="1"/>
    <col min="7" max="8" width="0" style="74" hidden="1" customWidth="1"/>
    <col min="9" max="9" width="12.5703125" style="74" hidden="1" customWidth="1"/>
    <col min="10" max="12" width="0" style="74" hidden="1" customWidth="1"/>
    <col min="13" max="16384" width="9.140625" style="74"/>
  </cols>
  <sheetData>
    <row r="3" spans="2:11" ht="15.75">
      <c r="D3" s="176" t="s">
        <v>0</v>
      </c>
      <c r="E3" s="174"/>
    </row>
    <row r="4" spans="2:11" ht="15.75">
      <c r="D4" s="176" t="s">
        <v>298</v>
      </c>
      <c r="E4" s="174"/>
      <c r="G4" s="220">
        <v>42826</v>
      </c>
    </row>
    <row r="5" spans="2:11" ht="15.75">
      <c r="D5" s="176" t="s">
        <v>206</v>
      </c>
      <c r="E5" s="174"/>
      <c r="I5" s="146" t="s">
        <v>160</v>
      </c>
      <c r="J5" s="283">
        <v>14.07</v>
      </c>
      <c r="K5" s="148" t="s">
        <v>186</v>
      </c>
    </row>
    <row r="6" spans="2:11" ht="15.75">
      <c r="D6" s="176"/>
      <c r="E6" s="174"/>
      <c r="I6" s="147" t="s">
        <v>162</v>
      </c>
      <c r="J6" s="147">
        <v>2576.6999999999998</v>
      </c>
      <c r="K6" s="148"/>
    </row>
    <row r="7" spans="2:11" ht="15.75">
      <c r="D7" s="176" t="s">
        <v>297</v>
      </c>
      <c r="E7" s="174"/>
      <c r="I7" s="147" t="s">
        <v>163</v>
      </c>
      <c r="J7" s="147">
        <v>64</v>
      </c>
      <c r="K7" s="148"/>
    </row>
    <row r="8" spans="2:11" ht="15.75">
      <c r="D8" s="66"/>
      <c r="I8" s="147" t="s">
        <v>164</v>
      </c>
      <c r="J8" s="283">
        <v>126</v>
      </c>
      <c r="K8" s="148"/>
    </row>
    <row r="9" spans="2:11" ht="15.75">
      <c r="D9" s="66"/>
      <c r="I9" s="149" t="s">
        <v>165</v>
      </c>
      <c r="J9" s="147">
        <v>9920</v>
      </c>
      <c r="K9" s="148"/>
    </row>
    <row r="10" spans="2:11" ht="32.25" customHeight="1">
      <c r="B10" s="346" t="s">
        <v>299</v>
      </c>
      <c r="C10" s="346"/>
      <c r="D10" s="346"/>
      <c r="E10" s="346"/>
      <c r="I10" s="147" t="s">
        <v>166</v>
      </c>
      <c r="J10" s="147">
        <v>73</v>
      </c>
      <c r="K10" s="148"/>
    </row>
    <row r="11" spans="2:11" ht="15" customHeight="1">
      <c r="B11" s="347" t="s">
        <v>152</v>
      </c>
      <c r="C11" s="347"/>
      <c r="D11" s="347"/>
      <c r="E11" s="347"/>
      <c r="I11" s="147" t="s">
        <v>167</v>
      </c>
      <c r="J11" s="147">
        <v>1140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2576.6999999999998</v>
      </c>
      <c r="D14" s="77" t="s">
        <v>61</v>
      </c>
      <c r="I14" s="147" t="s">
        <v>170</v>
      </c>
      <c r="J14" s="147">
        <v>1793</v>
      </c>
      <c r="K14" s="148"/>
    </row>
    <row r="15" spans="2:11" s="6" customFormat="1" ht="15.75">
      <c r="B15" s="86" t="s">
        <v>3</v>
      </c>
      <c r="C15" s="87">
        <v>73.400000000000006</v>
      </c>
      <c r="D15" s="88"/>
      <c r="E15" s="89"/>
      <c r="I15" s="147" t="s">
        <v>171</v>
      </c>
      <c r="J15" s="6">
        <v>4411.5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393.4210256234</v>
      </c>
      <c r="K17" s="148"/>
    </row>
    <row r="18" spans="2:11">
      <c r="B18" s="93" t="s">
        <v>7</v>
      </c>
      <c r="C18" s="198">
        <f>C14*14.07*12</f>
        <v>435050.02800000005</v>
      </c>
      <c r="D18" s="155" t="s">
        <v>615</v>
      </c>
      <c r="E18" s="199" t="s">
        <v>99</v>
      </c>
      <c r="I18" s="147" t="s">
        <v>174</v>
      </c>
      <c r="J18" s="147">
        <v>6.44</v>
      </c>
      <c r="K18" s="148"/>
    </row>
    <row r="19" spans="2:11" ht="38.25">
      <c r="B19" s="94" t="s">
        <v>8</v>
      </c>
      <c r="C19" s="325">
        <f>126*(211.42*6*1.45/12+226.93*6*1.45/12)*1.18</f>
        <v>47251.061549999999</v>
      </c>
      <c r="D19" s="326" t="s">
        <v>618</v>
      </c>
      <c r="E19" s="200"/>
      <c r="I19" s="147" t="s">
        <v>175</v>
      </c>
      <c r="J19" s="150">
        <v>1.1200000000000001</v>
      </c>
      <c r="K19" s="154">
        <f>(J15/3+J14)/2920</f>
        <v>1.1176369863013698</v>
      </c>
    </row>
    <row r="20" spans="2:11">
      <c r="B20" s="96" t="s">
        <v>9</v>
      </c>
      <c r="C20" s="95">
        <f>C21</f>
        <v>12628.716995999999</v>
      </c>
      <c r="D20" s="97"/>
      <c r="E20" s="200"/>
      <c r="I20" s="151" t="s">
        <v>176</v>
      </c>
      <c r="J20" s="151"/>
      <c r="K20" s="154">
        <f>J7/144</f>
        <v>0.44444444444444442</v>
      </c>
    </row>
    <row r="21" spans="2:11" ht="25.5">
      <c r="B21" s="78" t="s">
        <v>619</v>
      </c>
      <c r="C21" s="98">
        <f>C22+C23</f>
        <v>12628.716995999999</v>
      </c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 t="s">
        <v>63</v>
      </c>
      <c r="C22" s="198">
        <f>73.4*14.07*12</f>
        <v>12392.856</v>
      </c>
      <c r="D22" s="229" t="s">
        <v>616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327">
        <f>0.07*(232.8*1.18*6+243.11*1.18*6)</f>
        <v>235.86099600000003</v>
      </c>
      <c r="D23" s="328" t="s">
        <v>368</v>
      </c>
      <c r="E23" s="200" t="s">
        <v>99</v>
      </c>
      <c r="I23" s="74" t="s">
        <v>179</v>
      </c>
      <c r="K23" s="148"/>
    </row>
    <row r="24" spans="2:11" ht="15.75">
      <c r="B24" s="103" t="s">
        <v>10</v>
      </c>
      <c r="C24" s="65">
        <f>C18+C20</f>
        <v>447678.74499600002</v>
      </c>
      <c r="D24" s="83"/>
      <c r="E24" s="200"/>
      <c r="I24" s="148" t="s">
        <v>180</v>
      </c>
      <c r="J24" s="148"/>
      <c r="K24" s="154">
        <f>J30/1180</f>
        <v>0</v>
      </c>
    </row>
    <row r="25" spans="2:11">
      <c r="B25" s="104" t="s">
        <v>11</v>
      </c>
      <c r="C25" s="65">
        <f>C26+C27+C28+C29+C30+C31</f>
        <v>6839.76</v>
      </c>
      <c r="D25" s="83"/>
      <c r="E25" s="200"/>
      <c r="I25" s="74" t="s">
        <v>181</v>
      </c>
      <c r="J25" s="74">
        <v>279</v>
      </c>
      <c r="K25" s="148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454518.50499600003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329">
        <f>(1.12*(3565+200)*1.5*1.15*1.083*1.302*3)+(1.12*(3708+200)*1.5*1.15*1.083*1.302*9)+(0.1*1793*12)</f>
        <v>128739.20914010401</v>
      </c>
      <c r="D36" s="330" t="s">
        <v>620</v>
      </c>
      <c r="E36" s="200" t="s">
        <v>100</v>
      </c>
      <c r="H36" s="68"/>
    </row>
    <row r="37" spans="2:8" ht="15.75">
      <c r="B37" s="113" t="s">
        <v>28</v>
      </c>
      <c r="C37" s="183"/>
      <c r="D37" s="184"/>
      <c r="E37" s="200"/>
      <c r="H37" s="68"/>
    </row>
    <row r="38" spans="2:8" ht="15.75">
      <c r="B38" s="113" t="s">
        <v>29</v>
      </c>
      <c r="C38" s="183"/>
      <c r="D38" s="184"/>
      <c r="E38" s="200"/>
      <c r="H38" s="68"/>
    </row>
    <row r="39" spans="2:8" s="7" customFormat="1" ht="51">
      <c r="B39" s="113" t="s">
        <v>30</v>
      </c>
      <c r="C39" s="331">
        <f>126*(360.84*0.025*3+362.52*0.025*3+382.25*0.025*6)</f>
        <v>14060.277</v>
      </c>
      <c r="D39" s="332" t="s">
        <v>621</v>
      </c>
      <c r="E39" s="199" t="s">
        <v>101</v>
      </c>
      <c r="H39" s="68"/>
    </row>
    <row r="40" spans="2:8" ht="15.75">
      <c r="B40" s="113" t="s">
        <v>31</v>
      </c>
      <c r="C40" s="333">
        <f>(16.86+17.53)*64</f>
        <v>2200.96</v>
      </c>
      <c r="D40" s="334" t="s">
        <v>342</v>
      </c>
      <c r="E40" s="200" t="s">
        <v>102</v>
      </c>
      <c r="H40" s="68"/>
    </row>
    <row r="41" spans="2:8" ht="25.5">
      <c r="B41" s="113" t="s">
        <v>32</v>
      </c>
      <c r="C41" s="333">
        <f>(49.72+51.71)*2*0</f>
        <v>0</v>
      </c>
      <c r="D41" s="334" t="s">
        <v>317</v>
      </c>
      <c r="E41" s="200"/>
      <c r="H41" s="68"/>
    </row>
    <row r="42" spans="2:8" ht="15.75">
      <c r="B42" s="113" t="s">
        <v>33</v>
      </c>
      <c r="C42" s="185">
        <f>0.26*279*12</f>
        <v>870.48</v>
      </c>
      <c r="D42" s="155" t="s">
        <v>623</v>
      </c>
      <c r="E42" s="200" t="s">
        <v>99</v>
      </c>
      <c r="H42" s="68"/>
    </row>
    <row r="43" spans="2:8" ht="15.75">
      <c r="B43" s="115" t="s">
        <v>34</v>
      </c>
      <c r="C43" s="185">
        <f>1.02*279*4</f>
        <v>1138.32</v>
      </c>
      <c r="D43" s="155" t="s">
        <v>264</v>
      </c>
      <c r="E43" s="200" t="s">
        <v>103</v>
      </c>
      <c r="H43" s="68"/>
    </row>
    <row r="44" spans="2:8" ht="25.5">
      <c r="B44" s="94" t="s">
        <v>35</v>
      </c>
      <c r="C44" s="335">
        <f>(700.55*6+728.57*6)</f>
        <v>8574.7199999999993</v>
      </c>
      <c r="D44" s="336" t="s">
        <v>320</v>
      </c>
      <c r="E44" s="200" t="s">
        <v>99</v>
      </c>
      <c r="H44" s="68"/>
    </row>
    <row r="45" spans="2:8" ht="25.5">
      <c r="B45" s="94" t="s">
        <v>70</v>
      </c>
      <c r="C45" s="337">
        <f>(695.13*6+722.94*6)*0</f>
        <v>0</v>
      </c>
      <c r="D45" s="336" t="s">
        <v>321</v>
      </c>
      <c r="E45" s="200"/>
      <c r="H45" s="68"/>
    </row>
    <row r="46" spans="2:8" ht="15.75">
      <c r="B46" s="94" t="s">
        <v>216</v>
      </c>
      <c r="C46" s="70">
        <f>426.8*12</f>
        <v>5121.6000000000004</v>
      </c>
      <c r="D46" s="69" t="s">
        <v>872</v>
      </c>
      <c r="E46" s="200"/>
      <c r="H46" s="68"/>
    </row>
    <row r="47" spans="2:8" ht="50.25" customHeight="1">
      <c r="B47" s="94" t="s">
        <v>40</v>
      </c>
      <c r="C47" s="338">
        <f>126*(211.42*6*1.45/12+226.93*6*1.45/12)</f>
        <v>40043.272499999999</v>
      </c>
      <c r="D47" s="336" t="s">
        <v>624</v>
      </c>
      <c r="E47" s="200" t="s">
        <v>101</v>
      </c>
      <c r="H47" s="68"/>
    </row>
    <row r="48" spans="2:8" ht="25.5">
      <c r="B48" s="94" t="s">
        <v>41</v>
      </c>
      <c r="C48" s="335">
        <f>0.07*(232.8*6+243.11*6)</f>
        <v>199.88220000000001</v>
      </c>
      <c r="D48" s="339" t="s">
        <v>625</v>
      </c>
      <c r="E48" s="200" t="s">
        <v>101</v>
      </c>
      <c r="H48" s="68"/>
    </row>
    <row r="49" spans="2:5" ht="15.75">
      <c r="B49" s="116" t="s">
        <v>42</v>
      </c>
      <c r="C49" s="117">
        <f>C36+C37+C38+C39+C40+C41+C42+C43+C44+C45+C46+C47+C48</f>
        <v>200948.72084010401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333">
        <f>(6.44*96.4189*3)+(6.44*100.2864*9)+(1.78*(C14+C15)*12)</f>
        <v>64281.548891999999</v>
      </c>
      <c r="D51" s="340" t="s">
        <v>626</v>
      </c>
      <c r="E51" s="204"/>
    </row>
    <row r="52" spans="2:5">
      <c r="B52" s="115" t="s">
        <v>45</v>
      </c>
      <c r="C52" s="65">
        <f>13.69*1140</f>
        <v>15606.599999999999</v>
      </c>
      <c r="D52" s="83" t="s">
        <v>627</v>
      </c>
      <c r="E52" s="200" t="s">
        <v>104</v>
      </c>
    </row>
    <row r="53" spans="2:5" ht="89.25">
      <c r="B53" s="172" t="s">
        <v>94</v>
      </c>
      <c r="C53" s="70">
        <f>17.51*(C14+0)*0</f>
        <v>0</v>
      </c>
      <c r="D53" s="83" t="s">
        <v>628</v>
      </c>
      <c r="E53" s="200"/>
    </row>
    <row r="54" spans="2:5" ht="51">
      <c r="B54" s="113" t="s">
        <v>46</v>
      </c>
      <c r="C54" s="333">
        <f>(632.04+251.07/3)*9920/1000</f>
        <v>7100.0416000000005</v>
      </c>
      <c r="D54" s="340" t="s">
        <v>629</v>
      </c>
      <c r="E54" s="94" t="s">
        <v>105</v>
      </c>
    </row>
    <row r="55" spans="2:5" ht="51">
      <c r="B55" s="121" t="s">
        <v>47</v>
      </c>
      <c r="C55" s="341">
        <f>((393.42/12*3*96.4189)+(393.42/12*9*100.2864))+((393.42/12*3*96.4189)+(393.42/12*9*100.2864))/1.302*25%</f>
        <v>46577.030905972366</v>
      </c>
      <c r="D55" s="340" t="s">
        <v>630</v>
      </c>
      <c r="E55" s="200"/>
    </row>
    <row r="56" spans="2:5" ht="15.75">
      <c r="B56" s="122" t="s">
        <v>48</v>
      </c>
      <c r="C56" s="117">
        <f>C51+C52+C53+C54+C55</f>
        <v>133565.22139797237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3.05*(C14+C15)</f>
        <v>8082.8049999999994</v>
      </c>
      <c r="D64" s="126" t="s">
        <v>631</v>
      </c>
      <c r="E64" s="200"/>
    </row>
    <row r="65" spans="2:8" ht="15.75">
      <c r="B65" s="130" t="s">
        <v>57</v>
      </c>
      <c r="C65" s="131">
        <f>1.49*(C14+C15)</f>
        <v>3948.6489999999999</v>
      </c>
      <c r="D65" s="319" t="s">
        <v>851</v>
      </c>
      <c r="E65" s="200"/>
      <c r="H65" s="4"/>
    </row>
    <row r="66" spans="2:8">
      <c r="B66" s="78" t="s">
        <v>58</v>
      </c>
      <c r="C66" s="95">
        <f>(C49+C56)*0.341</f>
        <v>114069.25430318405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59212.981943446379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185313.69024663043</v>
      </c>
      <c r="D68" s="128"/>
      <c r="E68" s="200"/>
    </row>
    <row r="69" spans="2:8">
      <c r="B69" s="78" t="s">
        <v>59</v>
      </c>
      <c r="C69" s="95">
        <f>(C49+C56+C63+C68)*3%</f>
        <v>15594.828974541204</v>
      </c>
      <c r="D69" s="126"/>
      <c r="E69" s="200"/>
    </row>
    <row r="70" spans="2:8" ht="15.75">
      <c r="B70" s="133" t="s">
        <v>23</v>
      </c>
      <c r="C70" s="134">
        <f>C49+C56+C63+C68+C69</f>
        <v>535422.46145924798</v>
      </c>
      <c r="D70" s="135"/>
      <c r="E70" s="200"/>
    </row>
    <row r="71" spans="2:8" ht="15.75">
      <c r="B71" s="133" t="s">
        <v>60</v>
      </c>
      <c r="C71" s="134">
        <f>C70*1.18</f>
        <v>631798.50452191255</v>
      </c>
      <c r="D71" s="135"/>
      <c r="E71" s="108"/>
    </row>
    <row r="72" spans="2:8" ht="15.75">
      <c r="B72" s="136"/>
      <c r="C72" s="137">
        <f>C33-C71</f>
        <v>-177279.99952591251</v>
      </c>
      <c r="D72" s="138"/>
      <c r="E72" s="200"/>
    </row>
    <row r="73" spans="2:8" ht="30">
      <c r="B73" s="159" t="s">
        <v>106</v>
      </c>
      <c r="C73" s="188">
        <f>C71/(C14+C15)/12</f>
        <v>19.867127797753309</v>
      </c>
      <c r="D73" s="189" t="s">
        <v>617</v>
      </c>
      <c r="E73" s="108"/>
    </row>
    <row r="74" spans="2:8">
      <c r="B74" s="161"/>
      <c r="C74" s="190"/>
      <c r="D74" s="191"/>
      <c r="E74" s="205"/>
    </row>
    <row r="75" spans="2:8" ht="19.5" customHeight="1">
      <c r="B75" s="345" t="s">
        <v>97</v>
      </c>
      <c r="C75" s="345"/>
      <c r="D75" s="345"/>
      <c r="E75" s="303"/>
    </row>
    <row r="76" spans="2:8" ht="33" customHeight="1">
      <c r="B76" s="348" t="s">
        <v>334</v>
      </c>
      <c r="C76" s="348"/>
      <c r="D76" s="348"/>
      <c r="E76" s="348"/>
    </row>
    <row r="77" spans="2:8" ht="32.25" customHeight="1">
      <c r="B77" s="348" t="s">
        <v>335</v>
      </c>
      <c r="C77" s="348"/>
      <c r="D77" s="348"/>
      <c r="E77" s="348"/>
    </row>
    <row r="78" spans="2:8" ht="26.2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208</v>
      </c>
      <c r="C81" s="344"/>
      <c r="D81" s="34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27559055118110237" right="0.11811023622047245" top="0.43307086614173229" bottom="0.55118110236220474" header="0.15748031496062992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K87"/>
  <sheetViews>
    <sheetView topLeftCell="A31" workbookViewId="0">
      <selection activeCell="F49" sqref="F49"/>
    </sheetView>
  </sheetViews>
  <sheetFormatPr defaultRowHeight="15"/>
  <cols>
    <col min="1" max="1" width="4" style="9" customWidth="1"/>
    <col min="2" max="2" width="44.7109375" style="47" customWidth="1"/>
    <col min="3" max="3" width="14.5703125" style="47" customWidth="1"/>
    <col min="4" max="4" width="33.42578125" style="47" customWidth="1"/>
    <col min="5" max="5" width="16.28515625" style="9" customWidth="1"/>
    <col min="6" max="6" width="3.42578125" style="9" customWidth="1"/>
    <col min="7" max="7" width="7.28515625" style="9" customWidth="1"/>
    <col min="8" max="8" width="9.140625" style="9"/>
    <col min="9" max="9" width="13.5703125" style="9" customWidth="1"/>
    <col min="10" max="16384" width="9.140625" style="9"/>
  </cols>
  <sheetData>
    <row r="1" spans="2:11" ht="3" customHeight="1"/>
    <row r="2" spans="2:11" ht="3" customHeight="1"/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12.62</v>
      </c>
      <c r="K5" s="148" t="s">
        <v>186</v>
      </c>
    </row>
    <row r="6" spans="2:11" ht="14.25" customHeight="1">
      <c r="D6" s="176"/>
      <c r="I6" s="147" t="s">
        <v>162</v>
      </c>
      <c r="J6" s="147">
        <v>3028.2</v>
      </c>
      <c r="K6" s="148"/>
    </row>
    <row r="7" spans="2:11" ht="14.45" customHeight="1">
      <c r="D7" s="176" t="s">
        <v>297</v>
      </c>
      <c r="I7" s="147" t="s">
        <v>163</v>
      </c>
      <c r="J7" s="147">
        <v>74</v>
      </c>
      <c r="K7" s="148"/>
    </row>
    <row r="8" spans="2:11" ht="19.5" customHeight="1">
      <c r="D8" s="66"/>
      <c r="I8" s="147" t="s">
        <v>164</v>
      </c>
      <c r="J8" s="283">
        <v>170</v>
      </c>
      <c r="K8" s="148"/>
    </row>
    <row r="9" spans="2:11" ht="26.25" customHeight="1">
      <c r="D9" s="66"/>
      <c r="I9" s="149" t="s">
        <v>165</v>
      </c>
      <c r="J9" s="147">
        <v>12962</v>
      </c>
      <c r="K9" s="148"/>
    </row>
    <row r="10" spans="2:11" ht="31.15" customHeight="1">
      <c r="B10" s="346" t="s">
        <v>299</v>
      </c>
      <c r="C10" s="346"/>
      <c r="D10" s="346"/>
      <c r="E10" s="346"/>
      <c r="I10" s="147" t="s">
        <v>166</v>
      </c>
      <c r="J10" s="147">
        <v>249.6</v>
      </c>
      <c r="K10" s="148"/>
    </row>
    <row r="11" spans="2:11" ht="15" customHeight="1">
      <c r="B11" s="347" t="s">
        <v>153</v>
      </c>
      <c r="C11" s="347"/>
      <c r="D11" s="347"/>
      <c r="E11" s="347"/>
      <c r="I11" s="147" t="s">
        <v>167</v>
      </c>
      <c r="J11" s="147">
        <v>1139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20.25" customHeight="1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2967.6</v>
      </c>
      <c r="D14" s="77" t="s">
        <v>61</v>
      </c>
      <c r="I14" s="147" t="s">
        <v>170</v>
      </c>
      <c r="J14" s="147">
        <v>1227.2</v>
      </c>
      <c r="K14" s="148"/>
    </row>
    <row r="15" spans="2:11" s="89" customFormat="1" ht="15.75">
      <c r="B15" s="86" t="s">
        <v>3</v>
      </c>
      <c r="C15" s="87">
        <f>55.2+247.7+62.3</f>
        <v>365.2</v>
      </c>
      <c r="D15" s="88"/>
      <c r="I15" s="147" t="s">
        <v>171</v>
      </c>
      <c r="J15" s="6">
        <v>2420.8000000000002</v>
      </c>
      <c r="K15" s="148"/>
    </row>
    <row r="16" spans="2:11" s="89" customFormat="1" ht="18.75" customHeight="1">
      <c r="B16" s="86"/>
      <c r="C16" s="87"/>
      <c r="D16" s="88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409.4920168315</v>
      </c>
      <c r="K17" s="148"/>
    </row>
    <row r="18" spans="2:11">
      <c r="B18" s="93" t="s">
        <v>7</v>
      </c>
      <c r="C18" s="198">
        <f>C14*12.62*12</f>
        <v>449413.34399999992</v>
      </c>
      <c r="D18" s="155" t="s">
        <v>265</v>
      </c>
      <c r="E18" s="199" t="s">
        <v>99</v>
      </c>
      <c r="I18" s="147" t="s">
        <v>174</v>
      </c>
      <c r="J18" s="147">
        <v>8.3000000000000007</v>
      </c>
      <c r="K18" s="148"/>
    </row>
    <row r="19" spans="2:11" ht="38.25">
      <c r="B19" s="94" t="s">
        <v>8</v>
      </c>
      <c r="C19" s="286">
        <f>170*(211.42*6*1/12+226.93*6*1/12)*1.18</f>
        <v>43966.504999999997</v>
      </c>
      <c r="D19" s="287" t="s">
        <v>632</v>
      </c>
      <c r="E19" s="200"/>
      <c r="I19" s="147" t="s">
        <v>175</v>
      </c>
      <c r="J19" s="150">
        <v>0.7</v>
      </c>
      <c r="K19" s="154">
        <f>(J15/3+J14)/2920</f>
        <v>0.69662100456621012</v>
      </c>
    </row>
    <row r="20" spans="2:11">
      <c r="B20" s="96" t="s">
        <v>9</v>
      </c>
      <c r="C20" s="95">
        <f>C21+C24+C27</f>
        <v>68008.687355999995</v>
      </c>
      <c r="D20" s="97"/>
      <c r="E20" s="200"/>
      <c r="I20" s="151" t="s">
        <v>176</v>
      </c>
      <c r="J20" s="151"/>
      <c r="K20" s="154">
        <f>J7/144</f>
        <v>0.51388888888888884</v>
      </c>
    </row>
    <row r="21" spans="2:11">
      <c r="B21" s="78" t="s">
        <v>154</v>
      </c>
      <c r="C21" s="98">
        <f>C22+C23</f>
        <v>19074.316104000005</v>
      </c>
      <c r="D21" s="99"/>
      <c r="E21" s="200"/>
      <c r="I21" s="152" t="s">
        <v>177</v>
      </c>
      <c r="J21" s="153"/>
      <c r="K21" s="154">
        <f>J30/1180</f>
        <v>0</v>
      </c>
    </row>
    <row r="22" spans="2:11">
      <c r="B22" s="100" t="s">
        <v>63</v>
      </c>
      <c r="C22" s="178">
        <f>55.2*12.62*12</f>
        <v>8359.4880000000012</v>
      </c>
      <c r="D22" s="181" t="s">
        <v>266</v>
      </c>
      <c r="E22" s="200" t="s">
        <v>99</v>
      </c>
      <c r="I22" s="74" t="s">
        <v>178</v>
      </c>
      <c r="J22" s="74">
        <v>1</v>
      </c>
      <c r="K22" s="148"/>
    </row>
    <row r="23" spans="2:11" ht="25.5">
      <c r="B23" s="100" t="s">
        <v>64</v>
      </c>
      <c r="C23" s="288">
        <f>3.18*(232.8*1.18*6+243.11*1.18*6)</f>
        <v>10714.828104000002</v>
      </c>
      <c r="D23" s="289" t="s">
        <v>633</v>
      </c>
      <c r="E23" s="200" t="s">
        <v>99</v>
      </c>
      <c r="I23" s="74" t="s">
        <v>179</v>
      </c>
      <c r="J23" s="74"/>
      <c r="K23" s="148"/>
    </row>
    <row r="24" spans="2:11">
      <c r="B24" s="78" t="s">
        <v>155</v>
      </c>
      <c r="C24" s="98">
        <f>C25+C26</f>
        <v>37511.687999999995</v>
      </c>
      <c r="D24" s="99"/>
      <c r="E24" s="200"/>
      <c r="I24" s="148" t="s">
        <v>180</v>
      </c>
      <c r="J24" s="148"/>
      <c r="K24" s="154">
        <f>J33/1180</f>
        <v>0</v>
      </c>
    </row>
    <row r="25" spans="2:11">
      <c r="B25" s="100" t="s">
        <v>63</v>
      </c>
      <c r="C25" s="178">
        <f>247.7*12.62*12</f>
        <v>37511.687999999995</v>
      </c>
      <c r="D25" s="181" t="s">
        <v>267</v>
      </c>
      <c r="E25" s="200" t="s">
        <v>99</v>
      </c>
      <c r="I25" s="74" t="s">
        <v>181</v>
      </c>
      <c r="J25" s="74">
        <v>249.6</v>
      </c>
      <c r="K25" s="148"/>
    </row>
    <row r="26" spans="2:11" ht="25.5">
      <c r="B26" s="100" t="s">
        <v>64</v>
      </c>
      <c r="C26" s="288">
        <f>0*(232.8*1.18*6+243.11*1.18*6)</f>
        <v>0</v>
      </c>
      <c r="D26" s="289" t="s">
        <v>308</v>
      </c>
      <c r="E26" s="200" t="s">
        <v>99</v>
      </c>
    </row>
    <row r="27" spans="2:11">
      <c r="B27" s="78" t="s">
        <v>816</v>
      </c>
      <c r="C27" s="98">
        <f>C28+C29</f>
        <v>11422.683251999999</v>
      </c>
      <c r="D27" s="99"/>
      <c r="E27" s="200"/>
      <c r="I27" s="148" t="s">
        <v>180</v>
      </c>
      <c r="J27" s="148"/>
      <c r="K27" s="154">
        <f>J36/1180</f>
        <v>0</v>
      </c>
    </row>
    <row r="28" spans="2:11">
      <c r="B28" s="100" t="s">
        <v>63</v>
      </c>
      <c r="C28" s="178">
        <f>62.3*12.62*12</f>
        <v>9434.7119999999995</v>
      </c>
      <c r="D28" s="181" t="s">
        <v>817</v>
      </c>
      <c r="E28" s="200" t="s">
        <v>99</v>
      </c>
      <c r="I28" s="74" t="s">
        <v>181</v>
      </c>
      <c r="J28" s="74">
        <v>249.6</v>
      </c>
      <c r="K28" s="148"/>
    </row>
    <row r="29" spans="2:11" ht="25.5">
      <c r="B29" s="100" t="s">
        <v>64</v>
      </c>
      <c r="C29" s="288">
        <f>0.59*(232.8*1.18*6+243.11*1.18*6)</f>
        <v>1987.971252</v>
      </c>
      <c r="D29" s="289" t="s">
        <v>369</v>
      </c>
      <c r="E29" s="200" t="s">
        <v>99</v>
      </c>
    </row>
    <row r="30" spans="2:11" ht="15.75">
      <c r="B30" s="103" t="s">
        <v>10</v>
      </c>
      <c r="C30" s="65">
        <f>C18+C20</f>
        <v>517422.03135599993</v>
      </c>
      <c r="D30" s="83"/>
      <c r="E30" s="200"/>
    </row>
    <row r="31" spans="2:11">
      <c r="B31" s="104" t="s">
        <v>11</v>
      </c>
      <c r="C31" s="65">
        <f>C32+C33+C34+C35+C36+C37</f>
        <v>6839.76</v>
      </c>
      <c r="D31" s="83"/>
      <c r="E31" s="200"/>
    </row>
    <row r="32" spans="2:11">
      <c r="B32" s="78" t="s">
        <v>12</v>
      </c>
      <c r="C32" s="65">
        <f>34.98*12</f>
        <v>419.76</v>
      </c>
      <c r="D32" s="83" t="s">
        <v>13</v>
      </c>
      <c r="E32" s="200" t="s">
        <v>99</v>
      </c>
    </row>
    <row r="33" spans="2:8">
      <c r="B33" s="78" t="s">
        <v>14</v>
      </c>
      <c r="C33" s="65">
        <f>137.5*12</f>
        <v>1650</v>
      </c>
      <c r="D33" s="83" t="s">
        <v>15</v>
      </c>
      <c r="E33" s="200" t="s">
        <v>99</v>
      </c>
    </row>
    <row r="34" spans="2:8">
      <c r="B34" s="78" t="s">
        <v>16</v>
      </c>
      <c r="C34" s="65">
        <f>123.75*12</f>
        <v>1485</v>
      </c>
      <c r="D34" s="83" t="s">
        <v>17</v>
      </c>
      <c r="E34" s="200" t="s">
        <v>99</v>
      </c>
    </row>
    <row r="35" spans="2:8">
      <c r="B35" s="78" t="s">
        <v>18</v>
      </c>
      <c r="C35" s="65">
        <f>123.75*12</f>
        <v>1485</v>
      </c>
      <c r="D35" s="83" t="s">
        <v>17</v>
      </c>
      <c r="E35" s="200" t="s">
        <v>99</v>
      </c>
    </row>
    <row r="36" spans="2:8">
      <c r="B36" s="78" t="s">
        <v>19</v>
      </c>
      <c r="C36" s="65">
        <f>150*12</f>
        <v>1800</v>
      </c>
      <c r="D36" s="83" t="s">
        <v>20</v>
      </c>
      <c r="E36" s="200" t="s">
        <v>99</v>
      </c>
    </row>
    <row r="37" spans="2:8">
      <c r="B37" s="78" t="s">
        <v>69</v>
      </c>
      <c r="C37" s="65">
        <f>137.5*12*0</f>
        <v>0</v>
      </c>
      <c r="D37" s="83" t="s">
        <v>15</v>
      </c>
      <c r="E37" s="200"/>
    </row>
    <row r="38" spans="2:8">
      <c r="B38" s="104" t="s">
        <v>21</v>
      </c>
      <c r="C38" s="65">
        <v>0</v>
      </c>
      <c r="D38" s="83"/>
      <c r="E38" s="200"/>
    </row>
    <row r="39" spans="2:8" ht="18.75">
      <c r="B39" s="105" t="s">
        <v>23</v>
      </c>
      <c r="C39" s="106">
        <f>C30+C31+C38</f>
        <v>524261.79135599994</v>
      </c>
      <c r="D39" s="107"/>
      <c r="E39" s="108"/>
    </row>
    <row r="40" spans="2:8" ht="15.75">
      <c r="B40" s="91" t="s">
        <v>24</v>
      </c>
      <c r="C40" s="109" t="s">
        <v>5</v>
      </c>
      <c r="D40" s="110" t="s">
        <v>25</v>
      </c>
      <c r="E40" s="108"/>
    </row>
    <row r="41" spans="2:8" ht="15.75">
      <c r="B41" s="111" t="s">
        <v>26</v>
      </c>
      <c r="C41" s="95"/>
      <c r="D41" s="112"/>
      <c r="E41" s="108"/>
      <c r="H41" s="2"/>
    </row>
    <row r="42" spans="2:8" ht="51">
      <c r="B42" s="113" t="s">
        <v>27</v>
      </c>
      <c r="C42" s="290">
        <f>(0.7*(3565+200)*1.5*1.15*1.083*1.302*3)+(0.7*(3708+200)*1.5*1.15*1.083*1.302*9)+(0.1*1227.2*12)</f>
        <v>80589.895712564976</v>
      </c>
      <c r="D42" s="291" t="s">
        <v>634</v>
      </c>
      <c r="E42" s="200" t="s">
        <v>100</v>
      </c>
      <c r="H42" s="68"/>
    </row>
    <row r="43" spans="2:8" ht="15.75">
      <c r="B43" s="113" t="s">
        <v>28</v>
      </c>
      <c r="C43" s="183"/>
      <c r="D43" s="184"/>
      <c r="E43" s="200"/>
      <c r="H43" s="68"/>
    </row>
    <row r="44" spans="2:8" ht="15.75">
      <c r="B44" s="113" t="s">
        <v>29</v>
      </c>
      <c r="C44" s="183"/>
      <c r="D44" s="184"/>
      <c r="E44" s="200"/>
      <c r="H44" s="68"/>
    </row>
    <row r="45" spans="2:8" s="114" customFormat="1" ht="51">
      <c r="B45" s="113" t="s">
        <v>30</v>
      </c>
      <c r="C45" s="292">
        <f>170*(360.84*0.025*3+362.52*0.025*3+382.25*0.025*6)</f>
        <v>18970.215</v>
      </c>
      <c r="D45" s="293" t="s">
        <v>635</v>
      </c>
      <c r="E45" s="199" t="s">
        <v>101</v>
      </c>
      <c r="H45" s="68"/>
    </row>
    <row r="46" spans="2:8" ht="15.75">
      <c r="B46" s="113" t="s">
        <v>31</v>
      </c>
      <c r="C46" s="294">
        <f>(16.86+17.53)*74</f>
        <v>2544.86</v>
      </c>
      <c r="D46" s="295" t="s">
        <v>636</v>
      </c>
      <c r="E46" s="200" t="s">
        <v>102</v>
      </c>
      <c r="H46" s="68"/>
    </row>
    <row r="47" spans="2:8" ht="25.5">
      <c r="B47" s="113" t="s">
        <v>32</v>
      </c>
      <c r="C47" s="294">
        <f>(49.72+51.71)*2*0</f>
        <v>0</v>
      </c>
      <c r="D47" s="295" t="s">
        <v>317</v>
      </c>
      <c r="E47" s="200" t="s">
        <v>103</v>
      </c>
      <c r="H47" s="68"/>
    </row>
    <row r="48" spans="2:8" ht="15.75">
      <c r="B48" s="113" t="s">
        <v>33</v>
      </c>
      <c r="C48" s="185">
        <f>0.26*249.6*12</f>
        <v>778.75199999999995</v>
      </c>
      <c r="D48" s="155" t="s">
        <v>268</v>
      </c>
      <c r="E48" s="200" t="s">
        <v>99</v>
      </c>
      <c r="H48" s="68"/>
    </row>
    <row r="49" spans="2:8" ht="15.75">
      <c r="B49" s="115" t="s">
        <v>34</v>
      </c>
      <c r="C49" s="185">
        <f>1.02*249.6*4</f>
        <v>1018.3679999999999</v>
      </c>
      <c r="D49" s="155" t="s">
        <v>269</v>
      </c>
      <c r="E49" s="200" t="s">
        <v>103</v>
      </c>
      <c r="H49" s="68"/>
    </row>
    <row r="50" spans="2:8" ht="25.5">
      <c r="B50" s="94" t="s">
        <v>35</v>
      </c>
      <c r="C50" s="296">
        <f>(700.55*6+728.57*6)</f>
        <v>8574.7199999999993</v>
      </c>
      <c r="D50" s="297" t="s">
        <v>320</v>
      </c>
      <c r="E50" s="200" t="s">
        <v>99</v>
      </c>
      <c r="H50" s="68"/>
    </row>
    <row r="51" spans="2:8" ht="25.5">
      <c r="B51" s="94" t="s">
        <v>70</v>
      </c>
      <c r="C51" s="298">
        <f>(695.13*6+722.94*6)*0</f>
        <v>0</v>
      </c>
      <c r="D51" s="297" t="s">
        <v>321</v>
      </c>
      <c r="E51" s="200" t="s">
        <v>99</v>
      </c>
      <c r="H51" s="68"/>
    </row>
    <row r="52" spans="2:8" ht="15.75">
      <c r="B52" s="94" t="s">
        <v>216</v>
      </c>
      <c r="C52" s="323">
        <f>278.59*12</f>
        <v>3343.08</v>
      </c>
      <c r="D52" s="324" t="s">
        <v>270</v>
      </c>
      <c r="E52" s="200" t="s">
        <v>99</v>
      </c>
      <c r="H52" s="68"/>
    </row>
    <row r="53" spans="2:8" ht="50.25" customHeight="1">
      <c r="B53" s="94" t="s">
        <v>40</v>
      </c>
      <c r="C53" s="299">
        <f>170*(211.42*6*1/12+226.93*6*1/12)</f>
        <v>37259.75</v>
      </c>
      <c r="D53" s="297" t="s">
        <v>637</v>
      </c>
      <c r="E53" s="200" t="s">
        <v>101</v>
      </c>
      <c r="H53" s="68"/>
    </row>
    <row r="54" spans="2:8" ht="25.5">
      <c r="B54" s="94" t="s">
        <v>41</v>
      </c>
      <c r="C54" s="296">
        <f>3.77*(232.8*6+243.11*6)</f>
        <v>10765.084199999999</v>
      </c>
      <c r="D54" s="300" t="s">
        <v>818</v>
      </c>
      <c r="E54" s="200" t="s">
        <v>101</v>
      </c>
      <c r="H54" s="68"/>
    </row>
    <row r="55" spans="2:8" ht="15.75">
      <c r="B55" s="116" t="s">
        <v>42</v>
      </c>
      <c r="C55" s="117">
        <f>C42+C43+C44+C45+C46+C47+C48+C49+C50+C51+C52+C53+C54</f>
        <v>163844.724912565</v>
      </c>
      <c r="D55" s="118"/>
      <c r="E55" s="108"/>
    </row>
    <row r="56" spans="2:8">
      <c r="B56" s="113" t="s">
        <v>43</v>
      </c>
      <c r="C56" s="65"/>
      <c r="D56" s="83"/>
      <c r="E56" s="200"/>
    </row>
    <row r="57" spans="2:8" s="120" customFormat="1" ht="51">
      <c r="B57" s="119" t="s">
        <v>44</v>
      </c>
      <c r="C57" s="294">
        <f>(8.3*96.4189*3)+(8.3*100.2864*9)+(1.78*(C14+C15)*12)</f>
        <v>81080.83269000001</v>
      </c>
      <c r="D57" s="301" t="s">
        <v>822</v>
      </c>
      <c r="E57" s="204"/>
    </row>
    <row r="58" spans="2:8">
      <c r="B58" s="115" t="s">
        <v>45</v>
      </c>
      <c r="C58" s="65">
        <f>13.69*1139</f>
        <v>15592.91</v>
      </c>
      <c r="D58" s="83" t="s">
        <v>638</v>
      </c>
      <c r="E58" s="200" t="s">
        <v>104</v>
      </c>
    </row>
    <row r="59" spans="2:8" ht="89.25">
      <c r="B59" s="172" t="s">
        <v>94</v>
      </c>
      <c r="C59" s="70">
        <f>17.51*(C14+C15)</f>
        <v>58357.328000000001</v>
      </c>
      <c r="D59" s="83" t="s">
        <v>819</v>
      </c>
      <c r="E59" s="200"/>
    </row>
    <row r="60" spans="2:8" ht="51">
      <c r="B60" s="113" t="s">
        <v>46</v>
      </c>
      <c r="C60" s="294">
        <f>(632.04+251.07/3)*12962/1000</f>
        <v>9277.2922600000002</v>
      </c>
      <c r="D60" s="301" t="s">
        <v>639</v>
      </c>
      <c r="E60" s="94" t="s">
        <v>105</v>
      </c>
    </row>
    <row r="61" spans="2:8" ht="51">
      <c r="B61" s="121" t="s">
        <v>47</v>
      </c>
      <c r="C61" s="302">
        <f>((409.49/12*3*96.4189)+(409.49/12*9*100.2864))+((409.49/12*3*96.4189)+(409.49/12*9*100.2864))/1.302*25%</f>
        <v>48479.559721637481</v>
      </c>
      <c r="D61" s="301" t="s">
        <v>640</v>
      </c>
      <c r="E61" s="200"/>
    </row>
    <row r="62" spans="2:8" ht="15.75">
      <c r="B62" s="122" t="s">
        <v>48</v>
      </c>
      <c r="C62" s="117">
        <f>C57+C58+C59+C60+C61</f>
        <v>212787.9226716375</v>
      </c>
      <c r="D62" s="118"/>
      <c r="E62" s="200"/>
    </row>
    <row r="63" spans="2:8">
      <c r="B63" s="121" t="s">
        <v>49</v>
      </c>
      <c r="C63" s="65"/>
      <c r="D63" s="83"/>
      <c r="E63" s="200"/>
    </row>
    <row r="64" spans="2:8" s="114" customFormat="1" ht="12.75">
      <c r="B64" s="123" t="s">
        <v>50</v>
      </c>
      <c r="C64" s="124"/>
      <c r="D64" s="125"/>
      <c r="E64" s="199"/>
    </row>
    <row r="65" spans="2:8">
      <c r="B65" s="121" t="s">
        <v>51</v>
      </c>
      <c r="C65" s="95"/>
      <c r="D65" s="126"/>
      <c r="E65" s="200"/>
    </row>
    <row r="66" spans="2:8">
      <c r="B66" s="121" t="s">
        <v>52</v>
      </c>
      <c r="C66" s="95"/>
      <c r="D66" s="126"/>
      <c r="E66" s="200"/>
    </row>
    <row r="67" spans="2:8">
      <c r="B67" s="121" t="s">
        <v>53</v>
      </c>
      <c r="C67" s="95"/>
      <c r="D67" s="126"/>
      <c r="E67" s="200"/>
    </row>
    <row r="68" spans="2:8">
      <c r="B68" s="121" t="s">
        <v>54</v>
      </c>
      <c r="C68" s="95"/>
      <c r="D68" s="126"/>
      <c r="E68" s="200"/>
    </row>
    <row r="69" spans="2:8" ht="15.75">
      <c r="B69" s="122" t="s">
        <v>55</v>
      </c>
      <c r="C69" s="127">
        <f>C64+C65</f>
        <v>0</v>
      </c>
      <c r="D69" s="128"/>
      <c r="E69" s="200"/>
    </row>
    <row r="70" spans="2:8">
      <c r="B70" s="129" t="s">
        <v>56</v>
      </c>
      <c r="C70" s="95">
        <f>3.05*(3028.2+302.9)</f>
        <v>10159.855</v>
      </c>
      <c r="D70" s="126" t="s">
        <v>820</v>
      </c>
      <c r="E70" s="200"/>
    </row>
    <row r="71" spans="2:8" ht="15.75">
      <c r="B71" s="130" t="s">
        <v>57</v>
      </c>
      <c r="C71" s="131">
        <f>1.49*(3028.2+302.9)</f>
        <v>4963.3389999999999</v>
      </c>
      <c r="D71" s="131" t="s">
        <v>852</v>
      </c>
      <c r="E71" s="200"/>
      <c r="H71" s="132"/>
    </row>
    <row r="72" spans="2:8">
      <c r="B72" s="78" t="s">
        <v>58</v>
      </c>
      <c r="C72" s="95">
        <f>(C55+C62)*0.341</f>
        <v>128431.73282621305</v>
      </c>
      <c r="D72" s="126" t="s">
        <v>331</v>
      </c>
      <c r="E72" s="200"/>
    </row>
    <row r="73" spans="2:8" ht="36.75" customHeight="1">
      <c r="B73" s="78" t="s">
        <v>95</v>
      </c>
      <c r="C73" s="131">
        <f>(C55+C62+C72)*0.132</f>
        <v>66668.498214174848</v>
      </c>
      <c r="D73" s="126" t="s">
        <v>332</v>
      </c>
      <c r="E73" s="200" t="s">
        <v>99</v>
      </c>
    </row>
    <row r="74" spans="2:8" ht="15.75">
      <c r="B74" s="157" t="s">
        <v>96</v>
      </c>
      <c r="C74" s="127">
        <f>C70+C71+C72+C73</f>
        <v>210223.4250403879</v>
      </c>
      <c r="D74" s="128"/>
      <c r="E74" s="200"/>
    </row>
    <row r="75" spans="2:8">
      <c r="B75" s="78" t="s">
        <v>59</v>
      </c>
      <c r="C75" s="95">
        <f>(C55+C62+C69+C74)*3%</f>
        <v>17605.682178737712</v>
      </c>
      <c r="D75" s="126"/>
      <c r="E75" s="200"/>
    </row>
    <row r="76" spans="2:8" ht="15.75">
      <c r="B76" s="133" t="s">
        <v>23</v>
      </c>
      <c r="C76" s="134">
        <f>C55+C62+C69+C74+C75</f>
        <v>604461.75480332808</v>
      </c>
      <c r="D76" s="135"/>
      <c r="E76" s="200"/>
    </row>
    <row r="77" spans="2:8" ht="15.75">
      <c r="B77" s="133" t="s">
        <v>60</v>
      </c>
      <c r="C77" s="134">
        <f>C76*1.18</f>
        <v>713264.87066792708</v>
      </c>
      <c r="D77" s="135"/>
      <c r="E77" s="108"/>
    </row>
    <row r="78" spans="2:8" ht="15.75">
      <c r="B78" s="136"/>
      <c r="C78" s="137">
        <f>C39-C77</f>
        <v>-189003.07931192714</v>
      </c>
      <c r="D78" s="138"/>
      <c r="E78" s="200"/>
    </row>
    <row r="79" spans="2:8" ht="30">
      <c r="B79" s="159" t="s">
        <v>106</v>
      </c>
      <c r="C79" s="188">
        <f>C77/(C14+C15)/12</f>
        <v>17.834475282743416</v>
      </c>
      <c r="D79" s="189" t="s">
        <v>821</v>
      </c>
      <c r="E79" s="108"/>
    </row>
    <row r="80" spans="2:8">
      <c r="B80" s="161"/>
      <c r="C80" s="190"/>
      <c r="D80" s="191"/>
      <c r="E80" s="205"/>
    </row>
    <row r="81" spans="2:5" ht="15" customHeight="1">
      <c r="B81" s="345" t="s">
        <v>97</v>
      </c>
      <c r="C81" s="345"/>
      <c r="D81" s="345"/>
      <c r="E81" s="303"/>
    </row>
    <row r="82" spans="2:5" ht="36" customHeight="1">
      <c r="B82" s="348" t="s">
        <v>334</v>
      </c>
      <c r="C82" s="348"/>
      <c r="D82" s="348"/>
      <c r="E82" s="348"/>
    </row>
    <row r="83" spans="2:5" ht="30.75" customHeight="1">
      <c r="B83" s="348" t="s">
        <v>335</v>
      </c>
      <c r="C83" s="348"/>
      <c r="D83" s="348"/>
      <c r="E83" s="348"/>
    </row>
    <row r="84" spans="2:5">
      <c r="B84" s="163"/>
      <c r="C84" s="192"/>
      <c r="D84" s="193"/>
      <c r="E84" s="174"/>
    </row>
    <row r="85" spans="2:5">
      <c r="B85" s="163"/>
      <c r="C85" s="192"/>
      <c r="D85" s="193"/>
      <c r="E85" s="174"/>
    </row>
    <row r="86" spans="2:5">
      <c r="B86" s="164"/>
      <c r="C86" s="194"/>
      <c r="D86" s="195"/>
      <c r="E86" s="174"/>
    </row>
    <row r="87" spans="2:5">
      <c r="B87" s="344" t="s">
        <v>213</v>
      </c>
      <c r="C87" s="344"/>
      <c r="D87" s="344"/>
    </row>
  </sheetData>
  <mergeCells count="6">
    <mergeCell ref="B87:D87"/>
    <mergeCell ref="B81:D81"/>
    <mergeCell ref="B10:E10"/>
    <mergeCell ref="B11:E12"/>
    <mergeCell ref="B82:E82"/>
    <mergeCell ref="B83:E83"/>
  </mergeCells>
  <pageMargins left="0.23622047244094491" right="0.23622047244094491" top="0.19685039370078741" bottom="0.19685039370078741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B2:K102"/>
  <sheetViews>
    <sheetView topLeftCell="A47" workbookViewId="0">
      <selection activeCell="C56" sqref="C56:C60"/>
    </sheetView>
  </sheetViews>
  <sheetFormatPr defaultRowHeight="15"/>
  <cols>
    <col min="1" max="1" width="4" style="74" customWidth="1"/>
    <col min="2" max="2" width="37.140625" style="47" customWidth="1"/>
    <col min="3" max="3" width="12.85546875" style="47" customWidth="1"/>
    <col min="4" max="4" width="33.5703125" style="47" customWidth="1"/>
    <col min="5" max="5" width="13.7109375" style="47" customWidth="1"/>
    <col min="6" max="6" width="7" style="9" customWidth="1"/>
    <col min="7" max="7" width="10.85546875" style="74" customWidth="1"/>
    <col min="8" max="8" width="9.140625" style="74"/>
    <col min="9" max="9" width="20" style="74" customWidth="1"/>
    <col min="10" max="16384" width="9.140625" style="74"/>
  </cols>
  <sheetData>
    <row r="2" spans="2:11" ht="15.75">
      <c r="D2" s="139"/>
    </row>
    <row r="3" spans="2:11" ht="15.75">
      <c r="D3" s="176" t="s">
        <v>0</v>
      </c>
      <c r="E3" s="9" t="s">
        <v>448</v>
      </c>
    </row>
    <row r="4" spans="2:11" ht="15.75">
      <c r="D4" s="176" t="s">
        <v>210</v>
      </c>
      <c r="E4" s="9"/>
    </row>
    <row r="5" spans="2:11" ht="15.75">
      <c r="D5" s="176" t="s">
        <v>1</v>
      </c>
      <c r="E5" s="9"/>
      <c r="I5" s="146" t="s">
        <v>160</v>
      </c>
      <c r="J5" s="283">
        <v>13.24</v>
      </c>
      <c r="K5" s="148" t="s">
        <v>186</v>
      </c>
    </row>
    <row r="6" spans="2:11" ht="15.75">
      <c r="D6" s="176"/>
      <c r="E6" s="9"/>
      <c r="I6" s="147" t="s">
        <v>162</v>
      </c>
      <c r="J6" s="147">
        <v>2421.4</v>
      </c>
      <c r="K6" s="148"/>
    </row>
    <row r="7" spans="2:11" ht="15.75">
      <c r="D7" s="176" t="s">
        <v>297</v>
      </c>
      <c r="E7" s="9"/>
      <c r="I7" s="147" t="s">
        <v>163</v>
      </c>
      <c r="J7" s="147">
        <v>59</v>
      </c>
      <c r="K7" s="148"/>
    </row>
    <row r="8" spans="2:11" ht="15.75">
      <c r="D8" s="66"/>
      <c r="I8" s="147" t="s">
        <v>164</v>
      </c>
      <c r="J8" s="283">
        <v>126</v>
      </c>
      <c r="K8" s="148"/>
    </row>
    <row r="9" spans="2:11" ht="15.75">
      <c r="D9" s="66"/>
      <c r="I9" s="149" t="s">
        <v>165</v>
      </c>
      <c r="J9" s="147">
        <v>10096</v>
      </c>
      <c r="K9" s="148"/>
    </row>
    <row r="10" spans="2:11" ht="36" customHeight="1">
      <c r="B10" s="346" t="s">
        <v>299</v>
      </c>
      <c r="C10" s="346"/>
      <c r="D10" s="346"/>
      <c r="E10" s="346"/>
      <c r="I10" s="147" t="s">
        <v>166</v>
      </c>
      <c r="J10" s="147">
        <v>15</v>
      </c>
      <c r="K10" s="148"/>
    </row>
    <row r="11" spans="2:11" ht="15" customHeight="1">
      <c r="B11" s="346" t="s">
        <v>156</v>
      </c>
      <c r="C11" s="346"/>
      <c r="D11" s="346"/>
      <c r="E11" s="346"/>
      <c r="I11" s="147" t="s">
        <v>167</v>
      </c>
      <c r="J11" s="147">
        <v>1150</v>
      </c>
      <c r="K11" s="148"/>
    </row>
    <row r="12" spans="2:11" ht="15" customHeight="1">
      <c r="B12" s="346"/>
      <c r="C12" s="346"/>
      <c r="D12" s="346"/>
      <c r="E12" s="346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2421.4</v>
      </c>
      <c r="D14" s="77" t="s">
        <v>61</v>
      </c>
      <c r="I14" s="147" t="s">
        <v>170</v>
      </c>
      <c r="J14" s="147">
        <v>1779.4</v>
      </c>
      <c r="K14" s="148"/>
    </row>
    <row r="15" spans="2:11" s="6" customFormat="1" ht="31.5">
      <c r="B15" s="86" t="s">
        <v>3</v>
      </c>
      <c r="C15" s="87">
        <v>200.8</v>
      </c>
      <c r="D15" s="88"/>
      <c r="E15" s="140"/>
      <c r="F15" s="89"/>
      <c r="I15" s="147" t="s">
        <v>171</v>
      </c>
      <c r="J15" s="6">
        <v>4044.8</v>
      </c>
      <c r="K15" s="148"/>
    </row>
    <row r="16" spans="2:11" s="6" customFormat="1" ht="15.75">
      <c r="B16" s="86"/>
      <c r="C16" s="87"/>
      <c r="D16" s="88"/>
      <c r="E16" s="140"/>
      <c r="F16" s="89"/>
      <c r="I16" s="147" t="s">
        <v>172</v>
      </c>
      <c r="J16" s="147">
        <v>0</v>
      </c>
      <c r="K16" s="148"/>
    </row>
    <row r="17" spans="2:11" ht="28.5">
      <c r="B17" s="157" t="s">
        <v>4</v>
      </c>
      <c r="C17" s="141" t="s">
        <v>5</v>
      </c>
      <c r="D17" s="142" t="s">
        <v>6</v>
      </c>
      <c r="E17" s="143" t="s">
        <v>98</v>
      </c>
      <c r="I17" s="147" t="s">
        <v>173</v>
      </c>
      <c r="J17" s="284">
        <v>371.2936654298</v>
      </c>
      <c r="K17" s="148"/>
    </row>
    <row r="18" spans="2:11">
      <c r="B18" s="254" t="s">
        <v>7</v>
      </c>
      <c r="C18" s="198">
        <f>C14*13.24*12</f>
        <v>384712.03200000001</v>
      </c>
      <c r="D18" s="155" t="s">
        <v>641</v>
      </c>
      <c r="E18" s="255"/>
      <c r="I18" s="147" t="s">
        <v>174</v>
      </c>
      <c r="J18" s="147">
        <v>7.71</v>
      </c>
      <c r="K18" s="148"/>
    </row>
    <row r="19" spans="2:11" ht="38.25">
      <c r="B19" s="155" t="s">
        <v>8</v>
      </c>
      <c r="C19" s="286">
        <f>126*(211.42*6*1/12+226.93*6*1/12)*1.18</f>
        <v>32586.938999999998</v>
      </c>
      <c r="D19" s="287" t="s">
        <v>642</v>
      </c>
      <c r="E19" s="255"/>
      <c r="I19" s="147" t="s">
        <v>175</v>
      </c>
      <c r="J19" s="150">
        <v>1.07</v>
      </c>
      <c r="K19" s="154">
        <f>(J15/3+J14)/2920</f>
        <v>1.0711187214611873</v>
      </c>
    </row>
    <row r="20" spans="2:11">
      <c r="B20" s="104" t="s">
        <v>9</v>
      </c>
      <c r="C20" s="126">
        <f>C21+C24+C27</f>
        <v>40596.266424000001</v>
      </c>
      <c r="D20" s="256"/>
      <c r="E20" s="255"/>
      <c r="I20" s="151" t="s">
        <v>176</v>
      </c>
      <c r="J20" s="151"/>
      <c r="K20" s="154">
        <f>J7/144</f>
        <v>0.40972222222222221</v>
      </c>
    </row>
    <row r="21" spans="2:11" ht="25.5">
      <c r="B21" s="78" t="s">
        <v>271</v>
      </c>
      <c r="C21" s="257">
        <f>C22+C23</f>
        <v>13881.246815999999</v>
      </c>
      <c r="D21" s="216"/>
      <c r="E21" s="255"/>
      <c r="I21" s="152" t="s">
        <v>177</v>
      </c>
      <c r="J21" s="153"/>
      <c r="K21" s="154">
        <f>J27/1180</f>
        <v>0</v>
      </c>
    </row>
    <row r="22" spans="2:11">
      <c r="B22" s="258" t="s">
        <v>63</v>
      </c>
      <c r="C22" s="178">
        <f>72.1*13.24*12</f>
        <v>11455.248</v>
      </c>
      <c r="D22" s="181" t="s">
        <v>643</v>
      </c>
      <c r="E22" s="229" t="s">
        <v>157</v>
      </c>
      <c r="I22" s="74" t="s">
        <v>178</v>
      </c>
      <c r="J22" s="74">
        <v>1</v>
      </c>
      <c r="K22" s="148"/>
    </row>
    <row r="23" spans="2:11" ht="25.5">
      <c r="B23" s="258" t="s">
        <v>64</v>
      </c>
      <c r="C23" s="288">
        <f>0.72*(232.8*1.18*6+243.11*1.18*6)</f>
        <v>2425.9988160000003</v>
      </c>
      <c r="D23" s="289" t="s">
        <v>510</v>
      </c>
      <c r="E23" s="255" t="s">
        <v>101</v>
      </c>
      <c r="I23" s="74" t="s">
        <v>179</v>
      </c>
      <c r="K23" s="148"/>
    </row>
    <row r="24" spans="2:11">
      <c r="B24" s="113" t="s">
        <v>273</v>
      </c>
      <c r="C24" s="98">
        <f>C25+C26</f>
        <v>17048.417399999998</v>
      </c>
      <c r="D24" s="99"/>
      <c r="E24" s="255"/>
      <c r="I24" s="148" t="s">
        <v>180</v>
      </c>
      <c r="J24" s="148"/>
      <c r="K24" s="154">
        <f>J30/1180</f>
        <v>0</v>
      </c>
    </row>
    <row r="25" spans="2:11">
      <c r="B25" s="100" t="s">
        <v>63</v>
      </c>
      <c r="C25" s="178">
        <f>96.7*13.24*12</f>
        <v>15363.696</v>
      </c>
      <c r="D25" s="181" t="s">
        <v>644</v>
      </c>
      <c r="E25" s="229" t="s">
        <v>157</v>
      </c>
      <c r="I25" s="74" t="s">
        <v>181</v>
      </c>
      <c r="J25" s="74">
        <v>232</v>
      </c>
      <c r="K25" s="148"/>
    </row>
    <row r="26" spans="2:11" ht="25.5">
      <c r="B26" s="100" t="s">
        <v>64</v>
      </c>
      <c r="C26" s="288">
        <f>0.5*(232.8*1.18*6+243.11*1.18*6)</f>
        <v>1684.7214000000001</v>
      </c>
      <c r="D26" s="289" t="s">
        <v>645</v>
      </c>
      <c r="E26" s="255" t="s">
        <v>101</v>
      </c>
    </row>
    <row r="27" spans="2:11">
      <c r="B27" s="310" t="s">
        <v>272</v>
      </c>
      <c r="C27" s="311">
        <f>C28+C29</f>
        <v>9666.6022080000002</v>
      </c>
      <c r="D27" s="312"/>
      <c r="E27" s="313"/>
    </row>
    <row r="28" spans="2:11">
      <c r="B28" s="314" t="s">
        <v>63</v>
      </c>
      <c r="C28" s="315">
        <f>32*13.24*12</f>
        <v>5084.16</v>
      </c>
      <c r="D28" s="316" t="s">
        <v>646</v>
      </c>
      <c r="E28" s="313" t="s">
        <v>157</v>
      </c>
    </row>
    <row r="29" spans="2:11" ht="25.5">
      <c r="B29" s="314" t="s">
        <v>64</v>
      </c>
      <c r="C29" s="317">
        <f>1.36*(232.8*1.18*6+243.11*1.18*6)</f>
        <v>4582.4422080000004</v>
      </c>
      <c r="D29" s="318" t="s">
        <v>470</v>
      </c>
      <c r="E29" s="313" t="s">
        <v>101</v>
      </c>
      <c r="G29" s="74" t="s">
        <v>823</v>
      </c>
    </row>
    <row r="30" spans="2:11">
      <c r="B30" s="259" t="s">
        <v>10</v>
      </c>
      <c r="C30" s="260">
        <f>C18+C20</f>
        <v>425308.29842400004</v>
      </c>
      <c r="D30" s="107"/>
      <c r="E30" s="255"/>
    </row>
    <row r="31" spans="2:11" ht="25.5">
      <c r="B31" s="104" t="s">
        <v>11</v>
      </c>
      <c r="C31" s="260">
        <f>C32+C33+C34+C35+C36</f>
        <v>6839.76</v>
      </c>
      <c r="D31" s="107"/>
      <c r="E31" s="255"/>
    </row>
    <row r="32" spans="2:11">
      <c r="B32" s="78" t="s">
        <v>12</v>
      </c>
      <c r="C32" s="260">
        <f>34.98*12</f>
        <v>419.76</v>
      </c>
      <c r="D32" s="107" t="s">
        <v>13</v>
      </c>
      <c r="E32" s="229" t="s">
        <v>157</v>
      </c>
    </row>
    <row r="33" spans="2:8">
      <c r="B33" s="78" t="s">
        <v>14</v>
      </c>
      <c r="C33" s="260">
        <f>137.5*12</f>
        <v>1650</v>
      </c>
      <c r="D33" s="107" t="s">
        <v>15</v>
      </c>
      <c r="E33" s="229" t="s">
        <v>157</v>
      </c>
    </row>
    <row r="34" spans="2:8">
      <c r="B34" s="78" t="s">
        <v>16</v>
      </c>
      <c r="C34" s="260">
        <f>123.75*12</f>
        <v>1485</v>
      </c>
      <c r="D34" s="107" t="s">
        <v>17</v>
      </c>
      <c r="E34" s="229" t="s">
        <v>157</v>
      </c>
    </row>
    <row r="35" spans="2:8">
      <c r="B35" s="78" t="s">
        <v>18</v>
      </c>
      <c r="C35" s="260">
        <f>123.75*12</f>
        <v>1485</v>
      </c>
      <c r="D35" s="107" t="s">
        <v>17</v>
      </c>
      <c r="E35" s="229" t="s">
        <v>157</v>
      </c>
    </row>
    <row r="36" spans="2:8">
      <c r="B36" s="78" t="s">
        <v>19</v>
      </c>
      <c r="C36" s="260">
        <f>150*12</f>
        <v>1800</v>
      </c>
      <c r="D36" s="107" t="s">
        <v>20</v>
      </c>
      <c r="E36" s="229" t="s">
        <v>157</v>
      </c>
    </row>
    <row r="37" spans="2:8">
      <c r="B37" s="104" t="s">
        <v>21</v>
      </c>
      <c r="C37" s="260">
        <v>0</v>
      </c>
      <c r="D37" s="107"/>
      <c r="E37" s="255"/>
    </row>
    <row r="38" spans="2:8">
      <c r="B38" s="261" t="s">
        <v>23</v>
      </c>
      <c r="C38" s="262">
        <f>C30+C31+C37</f>
        <v>432148.05842400005</v>
      </c>
      <c r="D38" s="107"/>
      <c r="E38" s="255"/>
    </row>
    <row r="39" spans="2:8">
      <c r="B39" s="261" t="s">
        <v>24</v>
      </c>
      <c r="C39" s="263" t="s">
        <v>5</v>
      </c>
      <c r="D39" s="264" t="s">
        <v>25</v>
      </c>
      <c r="E39" s="255"/>
    </row>
    <row r="40" spans="2:8" ht="15.75">
      <c r="B40" s="203" t="s">
        <v>26</v>
      </c>
      <c r="C40" s="126"/>
      <c r="D40" s="256"/>
      <c r="E40" s="255"/>
      <c r="H40" s="2"/>
    </row>
    <row r="41" spans="2:8" ht="51">
      <c r="B41" s="186" t="s">
        <v>27</v>
      </c>
      <c r="C41" s="290">
        <f>(1.07*(3565+200)*1.5*1.15*1.083*1.302*3)+(1.07*(3708+200)*1.5*1.15*1.083*1.302*9)+(0.1*1779.4*12)</f>
        <v>123071.6565892065</v>
      </c>
      <c r="D41" s="291" t="s">
        <v>647</v>
      </c>
      <c r="E41" s="229" t="s">
        <v>100</v>
      </c>
      <c r="H41" s="68"/>
    </row>
    <row r="42" spans="2:8" ht="15.75">
      <c r="B42" s="186" t="s">
        <v>28</v>
      </c>
      <c r="C42" s="183"/>
      <c r="D42" s="184"/>
      <c r="E42" s="229"/>
      <c r="H42" s="68"/>
    </row>
    <row r="43" spans="2:8" ht="15.75">
      <c r="B43" s="186" t="s">
        <v>29</v>
      </c>
      <c r="C43" s="183"/>
      <c r="D43" s="184"/>
      <c r="E43" s="229"/>
      <c r="H43" s="68"/>
    </row>
    <row r="44" spans="2:8" s="7" customFormat="1" ht="51">
      <c r="B44" s="186" t="s">
        <v>30</v>
      </c>
      <c r="C44" s="292">
        <f>126*(360.84*0.025*3+362.52*0.025*3+382.25*0.025*6)</f>
        <v>14060.277</v>
      </c>
      <c r="D44" s="293" t="s">
        <v>621</v>
      </c>
      <c r="E44" s="229" t="s">
        <v>101</v>
      </c>
      <c r="F44" s="114"/>
      <c r="H44" s="68"/>
    </row>
    <row r="45" spans="2:8" ht="15.75">
      <c r="B45" s="78" t="s">
        <v>31</v>
      </c>
      <c r="C45" s="294">
        <f>(16.86+17.53)*59</f>
        <v>2029.01</v>
      </c>
      <c r="D45" s="295" t="s">
        <v>648</v>
      </c>
      <c r="E45" s="255" t="s">
        <v>102</v>
      </c>
      <c r="H45" s="68"/>
    </row>
    <row r="46" spans="2:8" ht="31.5" customHeight="1">
      <c r="B46" s="78" t="s">
        <v>32</v>
      </c>
      <c r="C46" s="294">
        <f>(49.72+51.71)*2*0</f>
        <v>0</v>
      </c>
      <c r="D46" s="295" t="s">
        <v>317</v>
      </c>
      <c r="E46" s="229"/>
      <c r="H46" s="68"/>
    </row>
    <row r="47" spans="2:8" ht="18" customHeight="1">
      <c r="B47" s="78" t="s">
        <v>33</v>
      </c>
      <c r="C47" s="185">
        <f>0.26*232*12</f>
        <v>723.84</v>
      </c>
      <c r="D47" s="155" t="s">
        <v>274</v>
      </c>
      <c r="E47" s="255" t="s">
        <v>99</v>
      </c>
      <c r="H47" s="68"/>
    </row>
    <row r="48" spans="2:8" ht="16.5" customHeight="1">
      <c r="B48" s="265" t="s">
        <v>34</v>
      </c>
      <c r="C48" s="185">
        <f>1.02*232*4</f>
        <v>946.56000000000006</v>
      </c>
      <c r="D48" s="155" t="s">
        <v>275</v>
      </c>
      <c r="E48" s="255" t="s">
        <v>103</v>
      </c>
      <c r="H48" s="68"/>
    </row>
    <row r="49" spans="2:8" ht="25.5">
      <c r="B49" s="94" t="s">
        <v>35</v>
      </c>
      <c r="C49" s="296">
        <f>(700.55*6+728.57*6)</f>
        <v>8574.7199999999993</v>
      </c>
      <c r="D49" s="297" t="s">
        <v>320</v>
      </c>
      <c r="E49" s="200" t="s">
        <v>99</v>
      </c>
      <c r="H49" s="68"/>
    </row>
    <row r="50" spans="2:8" ht="25.5">
      <c r="B50" s="94" t="s">
        <v>70</v>
      </c>
      <c r="C50" s="298">
        <f>(695.13*6+722.94*6)*0</f>
        <v>0</v>
      </c>
      <c r="D50" s="297" t="s">
        <v>321</v>
      </c>
      <c r="E50" s="200" t="s">
        <v>99</v>
      </c>
      <c r="H50" s="68"/>
    </row>
    <row r="51" spans="2:8" ht="15.75">
      <c r="B51" s="94" t="s">
        <v>216</v>
      </c>
      <c r="C51" s="323">
        <f>412.83*12</f>
        <v>4953.96</v>
      </c>
      <c r="D51" s="324" t="s">
        <v>276</v>
      </c>
      <c r="E51" s="200" t="s">
        <v>99</v>
      </c>
      <c r="H51" s="68"/>
    </row>
    <row r="52" spans="2:8" ht="66.75" customHeight="1">
      <c r="B52" s="155" t="s">
        <v>40</v>
      </c>
      <c r="C52" s="299">
        <f>126*(211.42*6*1/12+226.93*6*1/12)</f>
        <v>27616.05</v>
      </c>
      <c r="D52" s="297" t="s">
        <v>649</v>
      </c>
      <c r="E52" s="229" t="s">
        <v>101</v>
      </c>
      <c r="H52" s="68"/>
    </row>
    <row r="53" spans="2:8" ht="25.5">
      <c r="B53" s="155" t="s">
        <v>41</v>
      </c>
      <c r="C53" s="296">
        <f>2.58*(232.8*6+243.11*6)</f>
        <v>7367.0868</v>
      </c>
      <c r="D53" s="300" t="s">
        <v>650</v>
      </c>
      <c r="E53" s="229"/>
      <c r="H53" s="68"/>
    </row>
    <row r="54" spans="2:8">
      <c r="B54" s="261" t="s">
        <v>42</v>
      </c>
      <c r="C54" s="262">
        <f>SUM(C41:C53)</f>
        <v>189343.16038920646</v>
      </c>
      <c r="D54" s="107"/>
      <c r="E54" s="255"/>
    </row>
    <row r="55" spans="2:8">
      <c r="B55" s="78" t="s">
        <v>43</v>
      </c>
      <c r="C55" s="260"/>
      <c r="D55" s="107"/>
      <c r="E55" s="255"/>
    </row>
    <row r="56" spans="2:8" s="8" customFormat="1" ht="39" customHeight="1">
      <c r="B56" s="266" t="s">
        <v>44</v>
      </c>
      <c r="C56" s="294">
        <f>(7.71*96.4189*3)+(7.71*100.2864*9)+(1.78*(C14+C15)*12)</f>
        <v>65199.234453000012</v>
      </c>
      <c r="D56" s="301" t="s">
        <v>651</v>
      </c>
      <c r="E56" s="267"/>
      <c r="F56" s="120"/>
    </row>
    <row r="57" spans="2:8" ht="29.25" customHeight="1">
      <c r="B57" s="265" t="s">
        <v>45</v>
      </c>
      <c r="C57" s="260">
        <f>13.69*1150</f>
        <v>15743.5</v>
      </c>
      <c r="D57" s="107" t="s">
        <v>652</v>
      </c>
      <c r="E57" s="255" t="s">
        <v>104</v>
      </c>
    </row>
    <row r="58" spans="2:8" ht="154.5" customHeight="1">
      <c r="B58" s="172" t="s">
        <v>94</v>
      </c>
      <c r="C58" s="70">
        <f>17.51*(C14+C15)*0</f>
        <v>0</v>
      </c>
      <c r="D58" s="83" t="s">
        <v>653</v>
      </c>
      <c r="E58" s="255"/>
    </row>
    <row r="59" spans="2:8" ht="63" customHeight="1">
      <c r="B59" s="78" t="s">
        <v>46</v>
      </c>
      <c r="C59" s="294">
        <f>(632.04+251.07/3)*10096/1000</f>
        <v>7226.01008</v>
      </c>
      <c r="D59" s="301" t="s">
        <v>654</v>
      </c>
      <c r="E59" s="229" t="s">
        <v>158</v>
      </c>
    </row>
    <row r="60" spans="2:8" ht="51">
      <c r="B60" s="129" t="s">
        <v>47</v>
      </c>
      <c r="C60" s="302">
        <f>((371.29/12*3*96.4189)+(371.29/12*9*100.2864))+((371.29/12*3*96.4189)+(371.29/12*9*100.2864))/1.302*25%</f>
        <v>43957.058118749621</v>
      </c>
      <c r="D60" s="301" t="s">
        <v>655</v>
      </c>
      <c r="E60" s="229"/>
    </row>
    <row r="61" spans="2:8">
      <c r="B61" s="268" t="s">
        <v>48</v>
      </c>
      <c r="C61" s="262">
        <f>C56+C57+C58+C59+C60</f>
        <v>132125.80265174963</v>
      </c>
      <c r="D61" s="107"/>
      <c r="E61" s="255"/>
    </row>
    <row r="62" spans="2:8">
      <c r="B62" s="129" t="s">
        <v>49</v>
      </c>
      <c r="C62" s="260"/>
      <c r="D62" s="107"/>
      <c r="E62" s="255"/>
    </row>
    <row r="63" spans="2:8" s="7" customFormat="1" ht="12.75">
      <c r="B63" s="269" t="s">
        <v>50</v>
      </c>
      <c r="C63" s="270"/>
      <c r="D63" s="271"/>
      <c r="E63" s="166"/>
      <c r="F63" s="114"/>
    </row>
    <row r="64" spans="2:8">
      <c r="B64" s="129" t="s">
        <v>51</v>
      </c>
      <c r="C64" s="126"/>
      <c r="D64" s="211"/>
      <c r="E64" s="255"/>
    </row>
    <row r="65" spans="2:8">
      <c r="B65" s="129" t="s">
        <v>52</v>
      </c>
      <c r="C65" s="126"/>
      <c r="D65" s="211"/>
      <c r="E65" s="255"/>
    </row>
    <row r="66" spans="2:8">
      <c r="B66" s="129" t="s">
        <v>53</v>
      </c>
      <c r="C66" s="126"/>
      <c r="D66" s="211"/>
      <c r="E66" s="255"/>
    </row>
    <row r="67" spans="2:8">
      <c r="B67" s="129" t="s">
        <v>54</v>
      </c>
      <c r="C67" s="126"/>
      <c r="D67" s="211"/>
      <c r="E67" s="255"/>
    </row>
    <row r="68" spans="2:8">
      <c r="B68" s="268" t="s">
        <v>55</v>
      </c>
      <c r="C68" s="272">
        <f>C63+C64</f>
        <v>0</v>
      </c>
      <c r="D68" s="211"/>
      <c r="E68" s="255"/>
    </row>
    <row r="69" spans="2:8" ht="27" customHeight="1">
      <c r="B69" s="129" t="s">
        <v>56</v>
      </c>
      <c r="C69" s="126">
        <f>3.05*(C14+C15)</f>
        <v>7997.71</v>
      </c>
      <c r="D69" s="211" t="s">
        <v>656</v>
      </c>
      <c r="E69" s="229"/>
    </row>
    <row r="70" spans="2:8" ht="28.5" customHeight="1">
      <c r="B70" s="130" t="s">
        <v>57</v>
      </c>
      <c r="C70" s="319">
        <f>1.49*(C14+C15)</f>
        <v>3907.0780000000004</v>
      </c>
      <c r="D70" s="320" t="s">
        <v>853</v>
      </c>
      <c r="E70" s="229"/>
      <c r="H70" s="4"/>
    </row>
    <row r="71" spans="2:8">
      <c r="B71" s="78" t="s">
        <v>58</v>
      </c>
      <c r="C71" s="126">
        <f>(C54+C61)*0.341</f>
        <v>109620.91639696603</v>
      </c>
      <c r="D71" s="211" t="s">
        <v>331</v>
      </c>
      <c r="E71" s="255"/>
    </row>
    <row r="72" spans="2:8" ht="45.75" customHeight="1">
      <c r="B72" s="78" t="s">
        <v>95</v>
      </c>
      <c r="C72" s="131">
        <f>(C54+C61+C71)*0.132</f>
        <v>56903.864085805719</v>
      </c>
      <c r="D72" s="212" t="s">
        <v>544</v>
      </c>
      <c r="E72" s="229" t="s">
        <v>157</v>
      </c>
    </row>
    <row r="73" spans="2:8">
      <c r="B73" s="268" t="s">
        <v>96</v>
      </c>
      <c r="C73" s="272">
        <f>C69+C70+C71+C72</f>
        <v>178429.56848277175</v>
      </c>
      <c r="D73" s="211"/>
      <c r="E73" s="255"/>
    </row>
    <row r="74" spans="2:8">
      <c r="B74" s="261" t="s">
        <v>59</v>
      </c>
      <c r="C74" s="126">
        <f>(C54+C61+C68+C73)*3%</f>
        <v>14996.955945711834</v>
      </c>
      <c r="D74" s="211"/>
      <c r="E74" s="255"/>
    </row>
    <row r="75" spans="2:8">
      <c r="B75" s="268" t="s">
        <v>23</v>
      </c>
      <c r="C75" s="273">
        <f>(C54+C61+C68+C73+C74)</f>
        <v>514895.48746943963</v>
      </c>
      <c r="D75" s="274"/>
      <c r="E75" s="255"/>
    </row>
    <row r="76" spans="2:8">
      <c r="B76" s="268" t="s">
        <v>60</v>
      </c>
      <c r="C76" s="273">
        <f>C75*1.18</f>
        <v>607576.6752139387</v>
      </c>
      <c r="D76" s="274"/>
      <c r="E76" s="255"/>
    </row>
    <row r="77" spans="2:8" ht="16.5" customHeight="1">
      <c r="B77" s="129"/>
      <c r="C77" s="272">
        <f>C38-C76</f>
        <v>-175428.61678993865</v>
      </c>
      <c r="D77" s="275"/>
      <c r="E77" s="255"/>
    </row>
    <row r="78" spans="2:8" ht="32.25" customHeight="1">
      <c r="B78" s="276" t="s">
        <v>106</v>
      </c>
      <c r="C78" s="277">
        <f>C76/(C14+C15)/12</f>
        <v>19.308744413531215</v>
      </c>
      <c r="D78" s="278" t="s">
        <v>159</v>
      </c>
      <c r="E78" s="226"/>
    </row>
    <row r="79" spans="2:8" ht="13.5" customHeight="1">
      <c r="B79" s="279"/>
      <c r="C79" s="280"/>
      <c r="D79" s="281"/>
      <c r="E79" s="205"/>
    </row>
    <row r="80" spans="2:8" ht="24" customHeight="1">
      <c r="B80" s="345" t="s">
        <v>97</v>
      </c>
      <c r="C80" s="345"/>
      <c r="D80" s="345"/>
      <c r="E80" s="303"/>
    </row>
    <row r="81" spans="2:5" ht="42.75" customHeight="1">
      <c r="B81" s="348" t="s">
        <v>334</v>
      </c>
      <c r="C81" s="348"/>
      <c r="D81" s="348"/>
      <c r="E81" s="348"/>
    </row>
    <row r="82" spans="2:5" ht="34.5" customHeight="1">
      <c r="B82" s="348" t="s">
        <v>335</v>
      </c>
      <c r="C82" s="348"/>
      <c r="D82" s="348"/>
      <c r="E82" s="348"/>
    </row>
    <row r="83" spans="2:5" ht="26.25" customHeight="1">
      <c r="B83" s="163"/>
      <c r="C83" s="192"/>
      <c r="D83" s="193"/>
      <c r="E83" s="174"/>
    </row>
    <row r="84" spans="2:5">
      <c r="B84" s="164"/>
      <c r="C84" s="194"/>
      <c r="D84" s="195"/>
    </row>
    <row r="85" spans="2:5">
      <c r="B85" s="344" t="s">
        <v>213</v>
      </c>
      <c r="C85" s="344"/>
      <c r="D85" s="344"/>
    </row>
    <row r="87" spans="2:5">
      <c r="B87" s="253"/>
      <c r="C87" s="144"/>
      <c r="D87" s="144"/>
    </row>
    <row r="95" spans="2:5" s="9" customFormat="1">
      <c r="B95" s="47"/>
      <c r="C95" s="47"/>
      <c r="D95" s="47"/>
      <c r="E95" s="47"/>
    </row>
    <row r="96" spans="2:5" s="9" customFormat="1">
      <c r="B96" s="47"/>
      <c r="C96" s="47"/>
      <c r="D96" s="47"/>
      <c r="E96" s="47"/>
    </row>
    <row r="97" spans="2:5" s="9" customFormat="1">
      <c r="B97" s="47"/>
      <c r="C97" s="47"/>
      <c r="D97" s="47"/>
      <c r="E97" s="47"/>
    </row>
    <row r="98" spans="2:5" s="9" customFormat="1">
      <c r="B98" s="47"/>
      <c r="C98" s="47"/>
      <c r="D98" s="47"/>
      <c r="E98" s="47"/>
    </row>
    <row r="99" spans="2:5" s="9" customFormat="1">
      <c r="B99" s="47"/>
      <c r="C99" s="47"/>
      <c r="D99" s="47"/>
      <c r="E99" s="47"/>
    </row>
    <row r="100" spans="2:5" s="9" customFormat="1">
      <c r="B100" s="47"/>
      <c r="C100" s="47"/>
      <c r="D100" s="47"/>
      <c r="E100" s="47"/>
    </row>
    <row r="101" spans="2:5" s="9" customFormat="1">
      <c r="B101" s="47"/>
      <c r="C101" s="47"/>
      <c r="D101" s="47"/>
      <c r="E101" s="47"/>
    </row>
    <row r="102" spans="2:5" s="9" customFormat="1">
      <c r="B102" s="47"/>
      <c r="C102" s="47"/>
      <c r="D102" s="47"/>
      <c r="E102" s="47"/>
    </row>
  </sheetData>
  <mergeCells count="6">
    <mergeCell ref="B85:D85"/>
    <mergeCell ref="B80:D80"/>
    <mergeCell ref="B10:E10"/>
    <mergeCell ref="B11:E12"/>
    <mergeCell ref="B81:E81"/>
    <mergeCell ref="B82:E82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3:K104"/>
  <sheetViews>
    <sheetView topLeftCell="A51" workbookViewId="0">
      <selection activeCell="C58" sqref="C58:C62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42578125" style="9" customWidth="1"/>
    <col min="6" max="6" width="5" style="62" customWidth="1"/>
    <col min="7" max="7" width="10.7109375" style="62" customWidth="1"/>
    <col min="8" max="8" width="9.140625" style="62"/>
    <col min="9" max="9" width="17.4257812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14.28</v>
      </c>
      <c r="K5" s="148" t="s">
        <v>186</v>
      </c>
    </row>
    <row r="6" spans="2:11" ht="15.75">
      <c r="D6" s="176"/>
      <c r="I6" s="147" t="s">
        <v>162</v>
      </c>
      <c r="J6" s="147">
        <v>2561.4</v>
      </c>
      <c r="K6" s="148"/>
    </row>
    <row r="7" spans="2:11" ht="15.75">
      <c r="D7" s="176" t="s">
        <v>297</v>
      </c>
      <c r="I7" s="147" t="s">
        <v>163</v>
      </c>
      <c r="J7" s="147">
        <v>63</v>
      </c>
      <c r="K7" s="148"/>
    </row>
    <row r="8" spans="2:11" ht="15.75">
      <c r="D8" s="66"/>
      <c r="I8" s="147" t="s">
        <v>164</v>
      </c>
      <c r="J8" s="283">
        <v>122</v>
      </c>
      <c r="K8" s="148"/>
    </row>
    <row r="9" spans="2:11" ht="15.75">
      <c r="D9" s="66"/>
      <c r="I9" s="149" t="s">
        <v>165</v>
      </c>
      <c r="J9" s="147">
        <v>11246</v>
      </c>
      <c r="K9" s="148"/>
    </row>
    <row r="10" spans="2:11" ht="31.5" customHeight="1">
      <c r="B10" s="346" t="s">
        <v>299</v>
      </c>
      <c r="C10" s="346"/>
      <c r="D10" s="346"/>
      <c r="E10" s="346"/>
      <c r="I10" s="147" t="s">
        <v>166</v>
      </c>
      <c r="J10" s="147">
        <v>360</v>
      </c>
      <c r="K10" s="148"/>
    </row>
    <row r="11" spans="2:11" ht="15" customHeight="1">
      <c r="B11" s="347" t="s">
        <v>123</v>
      </c>
      <c r="C11" s="347"/>
      <c r="D11" s="347"/>
      <c r="E11" s="347"/>
      <c r="I11" s="147" t="s">
        <v>167</v>
      </c>
      <c r="J11" s="147">
        <v>1147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2561.4</v>
      </c>
      <c r="D14" s="77" t="s">
        <v>61</v>
      </c>
      <c r="I14" s="147" t="s">
        <v>170</v>
      </c>
      <c r="J14" s="147">
        <v>1335.7</v>
      </c>
      <c r="K14" s="148"/>
    </row>
    <row r="15" spans="2:11" s="6" customFormat="1" ht="15.75">
      <c r="B15" s="86" t="s">
        <v>3</v>
      </c>
      <c r="C15" s="87">
        <v>396.8</v>
      </c>
      <c r="D15" s="88"/>
      <c r="E15" s="89"/>
      <c r="I15" s="147" t="s">
        <v>171</v>
      </c>
      <c r="J15" s="6">
        <v>916.5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389.23734904050002</v>
      </c>
      <c r="K17" s="148"/>
    </row>
    <row r="18" spans="2:11">
      <c r="B18" s="93" t="s">
        <v>7</v>
      </c>
      <c r="C18" s="198">
        <f>C14*14.28*12</f>
        <v>438921.50400000002</v>
      </c>
      <c r="D18" s="155" t="s">
        <v>657</v>
      </c>
      <c r="E18" s="199" t="s">
        <v>99</v>
      </c>
      <c r="I18" s="147" t="s">
        <v>174</v>
      </c>
      <c r="J18" s="147">
        <v>9.15</v>
      </c>
      <c r="K18" s="148"/>
    </row>
    <row r="19" spans="2:11" ht="38.25">
      <c r="B19" s="94" t="s">
        <v>8</v>
      </c>
      <c r="C19" s="286">
        <f>122*(211.42*6*1.45/12+226.93*6*1.45/12)*1.18</f>
        <v>45751.027849999991</v>
      </c>
      <c r="D19" s="287" t="s">
        <v>658</v>
      </c>
      <c r="E19" s="200"/>
      <c r="I19" s="147" t="s">
        <v>175</v>
      </c>
      <c r="J19" s="150">
        <v>0.56000000000000005</v>
      </c>
      <c r="K19" s="154">
        <f>(J15/3+J14)/2920</f>
        <v>0.56205479452054796</v>
      </c>
    </row>
    <row r="20" spans="2:11">
      <c r="B20" s="96" t="s">
        <v>9</v>
      </c>
      <c r="C20" s="95">
        <f>C21+C24+C27</f>
        <v>11740.092060000001</v>
      </c>
      <c r="D20" s="97"/>
      <c r="E20" s="200"/>
      <c r="I20" s="151" t="s">
        <v>176</v>
      </c>
      <c r="J20" s="151"/>
      <c r="K20" s="154">
        <f>J7/144</f>
        <v>0.4375</v>
      </c>
    </row>
    <row r="21" spans="2:11" ht="25.5">
      <c r="B21" s="78" t="s">
        <v>87</v>
      </c>
      <c r="C21" s="98">
        <f>C22+C23</f>
        <v>2425.9988160000003</v>
      </c>
      <c r="D21" s="99"/>
      <c r="E21" s="200"/>
      <c r="I21" s="152" t="s">
        <v>177</v>
      </c>
      <c r="J21" s="153"/>
      <c r="K21" s="154">
        <f>J30/1180</f>
        <v>0</v>
      </c>
    </row>
    <row r="22" spans="2:11">
      <c r="B22" s="100" t="s">
        <v>63</v>
      </c>
      <c r="C22" s="178">
        <f>356.8*14.28*12*0</f>
        <v>0</v>
      </c>
      <c r="D22" s="181" t="s">
        <v>659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288">
        <f>0.72*(232.8*1.18*6+243.11*1.18*6)</f>
        <v>2425.9988160000003</v>
      </c>
      <c r="D23" s="289" t="s">
        <v>510</v>
      </c>
      <c r="E23" s="200" t="s">
        <v>99</v>
      </c>
      <c r="I23" s="74" t="s">
        <v>179</v>
      </c>
      <c r="J23" s="74"/>
      <c r="K23" s="148"/>
    </row>
    <row r="24" spans="2:11">
      <c r="B24" s="78" t="s">
        <v>199</v>
      </c>
      <c r="C24" s="98">
        <f>C25+C26</f>
        <v>7831.5384119999999</v>
      </c>
      <c r="D24" s="99"/>
      <c r="E24" s="200"/>
      <c r="I24" s="148" t="s">
        <v>180</v>
      </c>
      <c r="J24" s="148"/>
      <c r="K24" s="154">
        <f>J33/1180</f>
        <v>0</v>
      </c>
    </row>
    <row r="25" spans="2:11">
      <c r="B25" s="100" t="s">
        <v>63</v>
      </c>
      <c r="C25" s="178">
        <f>40*14.28*12</f>
        <v>6854.4</v>
      </c>
      <c r="D25" s="181" t="s">
        <v>660</v>
      </c>
      <c r="E25" s="200" t="s">
        <v>99</v>
      </c>
      <c r="I25" s="74" t="s">
        <v>181</v>
      </c>
      <c r="J25" s="74">
        <v>360</v>
      </c>
      <c r="K25" s="148"/>
    </row>
    <row r="26" spans="2:11" ht="25.5">
      <c r="B26" s="100" t="s">
        <v>64</v>
      </c>
      <c r="C26" s="288">
        <f>0.29*(232.8*1.18*6+243.11*1.18*6)</f>
        <v>977.13841200000002</v>
      </c>
      <c r="D26" s="289" t="s">
        <v>312</v>
      </c>
      <c r="E26" s="200" t="s">
        <v>99</v>
      </c>
    </row>
    <row r="27" spans="2:11" s="74" customFormat="1">
      <c r="B27" s="78" t="s">
        <v>277</v>
      </c>
      <c r="C27" s="98">
        <f>C28+C29</f>
        <v>1482.554832</v>
      </c>
      <c r="D27" s="99"/>
      <c r="E27" s="200"/>
      <c r="I27" s="148" t="s">
        <v>180</v>
      </c>
      <c r="J27" s="148"/>
      <c r="K27" s="154">
        <f>J36/1180</f>
        <v>0</v>
      </c>
    </row>
    <row r="28" spans="2:11" s="74" customFormat="1">
      <c r="B28" s="100" t="s">
        <v>63</v>
      </c>
      <c r="C28" s="178">
        <f>0*14.28*12</f>
        <v>0</v>
      </c>
      <c r="D28" s="181" t="s">
        <v>661</v>
      </c>
      <c r="E28" s="200" t="s">
        <v>99</v>
      </c>
      <c r="I28" s="74" t="s">
        <v>181</v>
      </c>
      <c r="J28" s="74">
        <v>360</v>
      </c>
      <c r="K28" s="148"/>
    </row>
    <row r="29" spans="2:11" s="74" customFormat="1" ht="25.5">
      <c r="B29" s="100" t="s">
        <v>64</v>
      </c>
      <c r="C29" s="288">
        <f>0.44*(232.8*1.18*6+243.11*1.18*6)</f>
        <v>1482.554832</v>
      </c>
      <c r="D29" s="289" t="s">
        <v>662</v>
      </c>
      <c r="E29" s="200" t="s">
        <v>99</v>
      </c>
    </row>
    <row r="30" spans="2:11" ht="15.75">
      <c r="B30" s="103" t="s">
        <v>10</v>
      </c>
      <c r="C30" s="65">
        <f>C18+C20</f>
        <v>450661.59606000001</v>
      </c>
      <c r="D30" s="83"/>
      <c r="E30" s="200"/>
    </row>
    <row r="31" spans="2:11">
      <c r="B31" s="104" t="s">
        <v>11</v>
      </c>
      <c r="C31" s="65">
        <f>C32+C33+C34+C35+C36+C37</f>
        <v>6839.76</v>
      </c>
      <c r="D31" s="83"/>
      <c r="E31" s="200"/>
    </row>
    <row r="32" spans="2:11">
      <c r="B32" s="78" t="s">
        <v>12</v>
      </c>
      <c r="C32" s="65">
        <f>34.98*12</f>
        <v>419.76</v>
      </c>
      <c r="D32" s="83" t="s">
        <v>13</v>
      </c>
      <c r="E32" s="200" t="s">
        <v>99</v>
      </c>
    </row>
    <row r="33" spans="2:8">
      <c r="B33" s="78" t="s">
        <v>14</v>
      </c>
      <c r="C33" s="65">
        <f>137.5*12</f>
        <v>1650</v>
      </c>
      <c r="D33" s="83" t="s">
        <v>15</v>
      </c>
      <c r="E33" s="200" t="s">
        <v>99</v>
      </c>
    </row>
    <row r="34" spans="2:8">
      <c r="B34" s="78" t="s">
        <v>16</v>
      </c>
      <c r="C34" s="65">
        <f>123.75*12</f>
        <v>1485</v>
      </c>
      <c r="D34" s="83" t="s">
        <v>17</v>
      </c>
      <c r="E34" s="200" t="s">
        <v>99</v>
      </c>
    </row>
    <row r="35" spans="2:8">
      <c r="B35" s="78" t="s">
        <v>18</v>
      </c>
      <c r="C35" s="65">
        <f>123.75*12</f>
        <v>1485</v>
      </c>
      <c r="D35" s="83" t="s">
        <v>17</v>
      </c>
      <c r="E35" s="200" t="s">
        <v>99</v>
      </c>
    </row>
    <row r="36" spans="2:8">
      <c r="B36" s="78" t="s">
        <v>19</v>
      </c>
      <c r="C36" s="65">
        <f>150*12</f>
        <v>1800</v>
      </c>
      <c r="D36" s="83" t="s">
        <v>20</v>
      </c>
      <c r="E36" s="200" t="s">
        <v>99</v>
      </c>
    </row>
    <row r="37" spans="2:8">
      <c r="B37" s="78" t="s">
        <v>69</v>
      </c>
      <c r="C37" s="65">
        <f>137.5*12*0</f>
        <v>0</v>
      </c>
      <c r="D37" s="83" t="s">
        <v>15</v>
      </c>
      <c r="E37" s="200"/>
    </row>
    <row r="38" spans="2:8">
      <c r="B38" s="104" t="s">
        <v>21</v>
      </c>
      <c r="C38" s="65">
        <v>0</v>
      </c>
      <c r="D38" s="83"/>
      <c r="E38" s="200"/>
    </row>
    <row r="39" spans="2:8" ht="18.75">
      <c r="B39" s="105" t="s">
        <v>23</v>
      </c>
      <c r="C39" s="106">
        <f>C30+C31+C38</f>
        <v>457501.35606000002</v>
      </c>
      <c r="D39" s="107"/>
      <c r="E39" s="108"/>
    </row>
    <row r="40" spans="2:8" ht="15.75">
      <c r="B40" s="91" t="s">
        <v>24</v>
      </c>
      <c r="C40" s="109" t="s">
        <v>5</v>
      </c>
      <c r="D40" s="110" t="s">
        <v>25</v>
      </c>
      <c r="E40" s="108"/>
    </row>
    <row r="41" spans="2:8" ht="15.75">
      <c r="B41" s="111" t="s">
        <v>26</v>
      </c>
      <c r="C41" s="95"/>
      <c r="D41" s="112"/>
      <c r="E41" s="108"/>
      <c r="H41" s="2"/>
    </row>
    <row r="42" spans="2:8" ht="51">
      <c r="B42" s="113" t="s">
        <v>27</v>
      </c>
      <c r="C42" s="290">
        <f>(0.56*(3565+200)*1.5*1.15*1.083*1.302*3)+(0.56*(3708+200)*1.5*1.15*1.083*1.302*9)+(0.1*1335.7*12)</f>
        <v>64896.644570051998</v>
      </c>
      <c r="D42" s="291" t="s">
        <v>663</v>
      </c>
      <c r="E42" s="200" t="s">
        <v>100</v>
      </c>
      <c r="H42" s="3"/>
    </row>
    <row r="43" spans="2:8" ht="15.75">
      <c r="B43" s="113" t="s">
        <v>28</v>
      </c>
      <c r="C43" s="183"/>
      <c r="D43" s="184"/>
      <c r="E43" s="200"/>
      <c r="H43" s="3"/>
    </row>
    <row r="44" spans="2:8" ht="15.75">
      <c r="B44" s="113" t="s">
        <v>29</v>
      </c>
      <c r="C44" s="183"/>
      <c r="D44" s="184"/>
      <c r="E44" s="200"/>
      <c r="H44" s="3"/>
    </row>
    <row r="45" spans="2:8" s="7" customFormat="1" ht="51">
      <c r="B45" s="113" t="s">
        <v>30</v>
      </c>
      <c r="C45" s="292">
        <f>122*(360.84*0.025*3+362.52*0.025*3+382.25*0.025*6)</f>
        <v>13613.919</v>
      </c>
      <c r="D45" s="293" t="s">
        <v>664</v>
      </c>
      <c r="E45" s="199" t="s">
        <v>101</v>
      </c>
      <c r="H45" s="3"/>
    </row>
    <row r="46" spans="2:8" ht="15.75">
      <c r="B46" s="113" t="s">
        <v>31</v>
      </c>
      <c r="C46" s="294">
        <f>(16.86+17.53)*63</f>
        <v>2166.5700000000002</v>
      </c>
      <c r="D46" s="295" t="s">
        <v>665</v>
      </c>
      <c r="E46" s="200" t="s">
        <v>102</v>
      </c>
      <c r="H46" s="3"/>
    </row>
    <row r="47" spans="2:8" ht="38.25" customHeight="1">
      <c r="B47" s="113" t="s">
        <v>32</v>
      </c>
      <c r="C47" s="294">
        <f>(49.72+51.71)*2*0</f>
        <v>0</v>
      </c>
      <c r="D47" s="295" t="s">
        <v>317</v>
      </c>
      <c r="E47" s="200"/>
      <c r="H47" s="3"/>
    </row>
    <row r="48" spans="2:8" ht="15.75">
      <c r="B48" s="113" t="s">
        <v>33</v>
      </c>
      <c r="C48" s="185">
        <f>0.26*360*12</f>
        <v>1123.2</v>
      </c>
      <c r="D48" s="155" t="s">
        <v>243</v>
      </c>
      <c r="E48" s="200" t="s">
        <v>99</v>
      </c>
      <c r="H48" s="3"/>
    </row>
    <row r="49" spans="2:8" ht="17.25" customHeight="1">
      <c r="B49" s="115" t="s">
        <v>34</v>
      </c>
      <c r="C49" s="185">
        <f>1.02*360*4</f>
        <v>1468.8</v>
      </c>
      <c r="D49" s="155" t="s">
        <v>244</v>
      </c>
      <c r="E49" s="200" t="s">
        <v>103</v>
      </c>
      <c r="H49" s="3"/>
    </row>
    <row r="50" spans="2:8" ht="25.5">
      <c r="B50" s="94" t="s">
        <v>35</v>
      </c>
      <c r="C50" s="296">
        <f>(700.55*6+728.57*6)*0</f>
        <v>0</v>
      </c>
      <c r="D50" s="297" t="s">
        <v>320</v>
      </c>
      <c r="E50" s="200" t="s">
        <v>99</v>
      </c>
      <c r="H50" s="3"/>
    </row>
    <row r="51" spans="2:8" ht="25.5">
      <c r="B51" s="94" t="s">
        <v>70</v>
      </c>
      <c r="C51" s="298">
        <f>(695.13*6+722.94*6)*0</f>
        <v>0</v>
      </c>
      <c r="D51" s="297" t="s">
        <v>321</v>
      </c>
      <c r="E51" s="200" t="s">
        <v>99</v>
      </c>
      <c r="H51" s="3"/>
    </row>
    <row r="52" spans="2:8" ht="15.75">
      <c r="B52" s="94" t="s">
        <v>216</v>
      </c>
      <c r="C52" s="323">
        <f>205.99*12</f>
        <v>2471.88</v>
      </c>
      <c r="D52" s="324" t="s">
        <v>278</v>
      </c>
      <c r="E52" s="200" t="s">
        <v>99</v>
      </c>
      <c r="H52" s="3"/>
    </row>
    <row r="53" spans="2:8" ht="15.75" hidden="1">
      <c r="B53" s="94" t="s">
        <v>38</v>
      </c>
      <c r="C53" s="70">
        <f>0*12</f>
        <v>0</v>
      </c>
      <c r="D53" s="187" t="s">
        <v>83</v>
      </c>
      <c r="E53" s="108"/>
      <c r="H53" s="3"/>
    </row>
    <row r="54" spans="2:8" ht="50.25" customHeight="1">
      <c r="B54" s="94" t="s">
        <v>40</v>
      </c>
      <c r="C54" s="299">
        <f>122*(211.42*6*1.45/12+226.93*6*1.45/12)</f>
        <v>38772.057499999995</v>
      </c>
      <c r="D54" s="297" t="s">
        <v>666</v>
      </c>
      <c r="E54" s="200" t="s">
        <v>101</v>
      </c>
      <c r="H54" s="3"/>
    </row>
    <row r="55" spans="2:8" ht="25.5">
      <c r="B55" s="94" t="s">
        <v>41</v>
      </c>
      <c r="C55" s="296">
        <f>1.45*(232.8*6+243.11*6)</f>
        <v>4140.4170000000004</v>
      </c>
      <c r="D55" s="300" t="s">
        <v>667</v>
      </c>
      <c r="E55" s="200" t="s">
        <v>101</v>
      </c>
      <c r="H55" s="3"/>
    </row>
    <row r="56" spans="2:8" ht="15.75">
      <c r="B56" s="116" t="s">
        <v>42</v>
      </c>
      <c r="C56" s="117">
        <f>C42+C43+C44+C45+C46+C47+C48+C49+C50+C51+C53+C54+C55+C52</f>
        <v>128653.488070052</v>
      </c>
      <c r="D56" s="118"/>
      <c r="E56" s="108"/>
    </row>
    <row r="57" spans="2:8">
      <c r="B57" s="113" t="s">
        <v>43</v>
      </c>
      <c r="C57" s="65"/>
      <c r="D57" s="83"/>
      <c r="E57" s="200"/>
    </row>
    <row r="58" spans="2:8" s="8" customFormat="1" ht="51">
      <c r="B58" s="119" t="s">
        <v>44</v>
      </c>
      <c r="C58" s="294">
        <f>(9.15*96.4189*3)+(9.15*100.2864*9)+(1.78*(C14+C15)*12)</f>
        <v>74092.435845</v>
      </c>
      <c r="D58" s="301" t="s">
        <v>668</v>
      </c>
      <c r="E58" s="204"/>
    </row>
    <row r="59" spans="2:8">
      <c r="B59" s="115" t="s">
        <v>45</v>
      </c>
      <c r="C59" s="65">
        <f>13.69*1147</f>
        <v>15702.43</v>
      </c>
      <c r="D59" s="83" t="s">
        <v>348</v>
      </c>
      <c r="E59" s="200" t="s">
        <v>104</v>
      </c>
    </row>
    <row r="60" spans="2:8" ht="89.25">
      <c r="B60" s="172" t="s">
        <v>94</v>
      </c>
      <c r="C60" s="70">
        <f>17.51*(C14+C15)</f>
        <v>51798.082000000009</v>
      </c>
      <c r="D60" s="83" t="s">
        <v>669</v>
      </c>
      <c r="E60" s="200"/>
    </row>
    <row r="61" spans="2:8" ht="51">
      <c r="B61" s="113" t="s">
        <v>46</v>
      </c>
      <c r="C61" s="294">
        <f>(632.04+251.07/3)*11246/1000</f>
        <v>8049.0995800000001</v>
      </c>
      <c r="D61" s="301" t="s">
        <v>670</v>
      </c>
      <c r="E61" s="94" t="s">
        <v>105</v>
      </c>
    </row>
    <row r="62" spans="2:8" ht="51">
      <c r="B62" s="121" t="s">
        <v>47</v>
      </c>
      <c r="C62" s="302">
        <f>((389.24/12*3*96.4189)+(389.24/12*9*100.2864))+((389.24/12*3*96.4189)+(389.24/12*9*100.2864))/1.302*25%</f>
        <v>46082.160311729647</v>
      </c>
      <c r="D62" s="301" t="s">
        <v>671</v>
      </c>
      <c r="E62" s="200"/>
    </row>
    <row r="63" spans="2:8" ht="15.75">
      <c r="B63" s="122" t="s">
        <v>48</v>
      </c>
      <c r="C63" s="117">
        <f>C58+C59+C60+C61+C62</f>
        <v>195724.20773672967</v>
      </c>
      <c r="D63" s="118"/>
      <c r="E63" s="200"/>
    </row>
    <row r="64" spans="2:8">
      <c r="B64" s="121" t="s">
        <v>49</v>
      </c>
      <c r="C64" s="65"/>
      <c r="D64" s="83"/>
      <c r="E64" s="200"/>
    </row>
    <row r="65" spans="2:8" s="7" customFormat="1" ht="12.75">
      <c r="B65" s="123" t="s">
        <v>50</v>
      </c>
      <c r="C65" s="124"/>
      <c r="D65" s="125"/>
      <c r="E65" s="199"/>
    </row>
    <row r="66" spans="2:8">
      <c r="B66" s="121" t="s">
        <v>51</v>
      </c>
      <c r="C66" s="95"/>
      <c r="D66" s="126"/>
      <c r="E66" s="200"/>
    </row>
    <row r="67" spans="2:8">
      <c r="B67" s="121" t="s">
        <v>52</v>
      </c>
      <c r="C67" s="95"/>
      <c r="D67" s="126"/>
      <c r="E67" s="200"/>
    </row>
    <row r="68" spans="2:8">
      <c r="B68" s="121" t="s">
        <v>53</v>
      </c>
      <c r="C68" s="95"/>
      <c r="D68" s="126"/>
      <c r="E68" s="200"/>
    </row>
    <row r="69" spans="2:8">
      <c r="B69" s="121" t="s">
        <v>54</v>
      </c>
      <c r="C69" s="95"/>
      <c r="D69" s="126"/>
      <c r="E69" s="200"/>
    </row>
    <row r="70" spans="2:8" ht="15.75">
      <c r="B70" s="122" t="s">
        <v>55</v>
      </c>
      <c r="C70" s="127">
        <f>C65+C66</f>
        <v>0</v>
      </c>
      <c r="D70" s="128"/>
      <c r="E70" s="200"/>
    </row>
    <row r="71" spans="2:8">
      <c r="B71" s="129" t="s">
        <v>56</v>
      </c>
      <c r="C71" s="95">
        <f>3.05*(2561.4+396.8)</f>
        <v>9022.51</v>
      </c>
      <c r="D71" s="126" t="s">
        <v>672</v>
      </c>
      <c r="E71" s="200"/>
    </row>
    <row r="72" spans="2:8" ht="15.75">
      <c r="B72" s="130" t="s">
        <v>57</v>
      </c>
      <c r="C72" s="131">
        <f>1.49*(2561.4+396.8)</f>
        <v>4407.7180000000008</v>
      </c>
      <c r="D72" s="131" t="s">
        <v>854</v>
      </c>
      <c r="E72" s="200"/>
      <c r="H72" s="4"/>
    </row>
    <row r="73" spans="2:8">
      <c r="B73" s="78" t="s">
        <v>58</v>
      </c>
      <c r="C73" s="95">
        <f>(C56+C63)*0.341</f>
        <v>110612.79427011254</v>
      </c>
      <c r="D73" s="126" t="s">
        <v>331</v>
      </c>
      <c r="E73" s="200"/>
    </row>
    <row r="74" spans="2:8" ht="38.25">
      <c r="B74" s="78" t="s">
        <v>95</v>
      </c>
      <c r="C74" s="131">
        <f>(C56+C63+C73)*0.132</f>
        <v>57418.744690150037</v>
      </c>
      <c r="D74" s="126" t="s">
        <v>332</v>
      </c>
      <c r="E74" s="200" t="s">
        <v>99</v>
      </c>
    </row>
    <row r="75" spans="2:8" ht="15.75">
      <c r="B75" s="157" t="s">
        <v>96</v>
      </c>
      <c r="C75" s="127">
        <f>C71+C72+C73+C74</f>
        <v>181461.76696026258</v>
      </c>
      <c r="D75" s="128"/>
      <c r="E75" s="200"/>
    </row>
    <row r="76" spans="2:8">
      <c r="B76" s="78" t="s">
        <v>59</v>
      </c>
      <c r="C76" s="95">
        <f>(C56+C63+C70+C75)*3%</f>
        <v>15175.183883011325</v>
      </c>
      <c r="D76" s="126"/>
      <c r="E76" s="200"/>
    </row>
    <row r="77" spans="2:8" ht="15.75">
      <c r="B77" s="133" t="s">
        <v>23</v>
      </c>
      <c r="C77" s="134">
        <f>C56+C63+C70+C75+C76</f>
        <v>521014.64665005554</v>
      </c>
      <c r="D77" s="135"/>
      <c r="E77" s="200"/>
    </row>
    <row r="78" spans="2:8" ht="15.75">
      <c r="B78" s="133" t="s">
        <v>60</v>
      </c>
      <c r="C78" s="134">
        <f>C77*1.18</f>
        <v>614797.28304706549</v>
      </c>
      <c r="D78" s="135"/>
      <c r="E78" s="108"/>
    </row>
    <row r="79" spans="2:8" ht="15.75">
      <c r="B79" s="136"/>
      <c r="C79" s="137">
        <f>C39-C78</f>
        <v>-157295.92698706547</v>
      </c>
      <c r="D79" s="138"/>
      <c r="E79" s="200"/>
    </row>
    <row r="80" spans="2:8" ht="30">
      <c r="B80" s="159" t="s">
        <v>106</v>
      </c>
      <c r="C80" s="188">
        <f>C78/(C14+C15)/12</f>
        <v>17.31901390054384</v>
      </c>
      <c r="D80" s="189" t="s">
        <v>140</v>
      </c>
      <c r="E80" s="226"/>
    </row>
    <row r="81" spans="2:5">
      <c r="B81" s="161"/>
      <c r="C81" s="190"/>
      <c r="D81" s="191"/>
      <c r="E81" s="205"/>
    </row>
    <row r="82" spans="2:5" ht="15" customHeight="1">
      <c r="B82" s="345" t="s">
        <v>97</v>
      </c>
      <c r="C82" s="345"/>
      <c r="D82" s="345"/>
      <c r="E82" s="303"/>
    </row>
    <row r="83" spans="2:5" ht="34.5" customHeight="1">
      <c r="B83" s="348" t="s">
        <v>334</v>
      </c>
      <c r="C83" s="348"/>
      <c r="D83" s="348"/>
      <c r="E83" s="348"/>
    </row>
    <row r="84" spans="2:5" ht="33.75" customHeight="1">
      <c r="B84" s="348" t="s">
        <v>335</v>
      </c>
      <c r="C84" s="348"/>
      <c r="D84" s="348"/>
      <c r="E84" s="348"/>
    </row>
    <row r="85" spans="2:5" ht="24.75" customHeight="1">
      <c r="B85" s="163"/>
      <c r="C85" s="192"/>
      <c r="D85" s="193"/>
      <c r="E85" s="174"/>
    </row>
    <row r="86" spans="2:5">
      <c r="B86" s="164"/>
      <c r="C86" s="194"/>
      <c r="D86" s="195"/>
      <c r="E86" s="174"/>
    </row>
    <row r="87" spans="2:5">
      <c r="B87" s="344" t="s">
        <v>213</v>
      </c>
      <c r="C87" s="344"/>
      <c r="D87" s="344"/>
      <c r="E87" s="174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  <row r="99" spans="2:4" s="9" customFormat="1">
      <c r="B99" s="47"/>
      <c r="C99" s="47"/>
      <c r="D99" s="47"/>
    </row>
    <row r="100" spans="2:4" s="9" customFormat="1">
      <c r="B100" s="47"/>
      <c r="C100" s="47"/>
      <c r="D100" s="47"/>
    </row>
    <row r="101" spans="2:4" s="9" customFormat="1">
      <c r="B101" s="47"/>
      <c r="C101" s="47"/>
      <c r="D101" s="47"/>
    </row>
    <row r="102" spans="2:4" s="9" customFormat="1">
      <c r="B102" s="47"/>
      <c r="C102" s="47"/>
      <c r="D102" s="47"/>
    </row>
    <row r="103" spans="2:4" s="9" customFormat="1">
      <c r="B103" s="47"/>
      <c r="C103" s="47"/>
      <c r="D103" s="47"/>
    </row>
    <row r="104" spans="2:4" s="9" customFormat="1">
      <c r="B104" s="47"/>
      <c r="C104" s="47"/>
      <c r="D104" s="47"/>
    </row>
  </sheetData>
  <mergeCells count="6">
    <mergeCell ref="B87:D87"/>
    <mergeCell ref="B82:D82"/>
    <mergeCell ref="B10:E10"/>
    <mergeCell ref="B11:E12"/>
    <mergeCell ref="B83:E83"/>
    <mergeCell ref="B84:E8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B3:K97"/>
  <sheetViews>
    <sheetView topLeftCell="A41" workbookViewId="0">
      <selection activeCell="D58" sqref="D58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42578125" style="9" customWidth="1"/>
    <col min="6" max="6" width="5" style="62" customWidth="1"/>
    <col min="7" max="8" width="9.140625" style="62"/>
    <col min="9" max="9" width="18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14.28</v>
      </c>
      <c r="K5" s="148" t="s">
        <v>186</v>
      </c>
    </row>
    <row r="6" spans="2:11" ht="15.75">
      <c r="D6" s="176"/>
      <c r="I6" s="147" t="s">
        <v>162</v>
      </c>
      <c r="J6" s="147">
        <v>2015.4</v>
      </c>
      <c r="K6" s="148"/>
    </row>
    <row r="7" spans="2:11" ht="15.75">
      <c r="D7" s="176" t="s">
        <v>297</v>
      </c>
      <c r="I7" s="147" t="s">
        <v>163</v>
      </c>
      <c r="J7" s="147">
        <v>48</v>
      </c>
      <c r="K7" s="148"/>
    </row>
    <row r="8" spans="2:11" ht="15.75">
      <c r="D8" s="66"/>
      <c r="I8" s="147" t="s">
        <v>164</v>
      </c>
      <c r="J8" s="283">
        <v>108</v>
      </c>
      <c r="K8" s="148"/>
    </row>
    <row r="9" spans="2:11" ht="15.75">
      <c r="D9" s="66"/>
      <c r="I9" s="149" t="s">
        <v>165</v>
      </c>
      <c r="J9" s="147">
        <v>7910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0</v>
      </c>
      <c r="K10" s="148"/>
    </row>
    <row r="11" spans="2:11" ht="15" customHeight="1">
      <c r="B11" s="347" t="s">
        <v>124</v>
      </c>
      <c r="C11" s="347"/>
      <c r="D11" s="347"/>
      <c r="E11" s="347"/>
      <c r="I11" s="147" t="s">
        <v>167</v>
      </c>
      <c r="J11" s="147">
        <v>982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2015.4</v>
      </c>
      <c r="D14" s="77" t="s">
        <v>61</v>
      </c>
      <c r="I14" s="147" t="s">
        <v>170</v>
      </c>
      <c r="J14" s="147">
        <v>710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1739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48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276.36304462394003</v>
      </c>
      <c r="K17" s="148"/>
    </row>
    <row r="18" spans="2:11">
      <c r="B18" s="93" t="s">
        <v>7</v>
      </c>
      <c r="C18" s="198">
        <f>C14*14.28*12</f>
        <v>345358.94400000002</v>
      </c>
      <c r="D18" s="155" t="s">
        <v>673</v>
      </c>
      <c r="E18" s="199" t="s">
        <v>99</v>
      </c>
      <c r="I18" s="147" t="s">
        <v>174</v>
      </c>
      <c r="J18" s="147">
        <v>5.35</v>
      </c>
      <c r="K18" s="148"/>
    </row>
    <row r="19" spans="2:11" ht="38.25">
      <c r="B19" s="94" t="s">
        <v>8</v>
      </c>
      <c r="C19" s="286">
        <f>108*(211.42*6*1/12+226.93*6*1/12)*1.18</f>
        <v>27931.661999999997</v>
      </c>
      <c r="D19" s="287" t="s">
        <v>674</v>
      </c>
      <c r="E19" s="200"/>
      <c r="I19" s="147" t="s">
        <v>175</v>
      </c>
      <c r="J19" s="150">
        <v>0.44</v>
      </c>
      <c r="K19" s="154">
        <f>(J15/3+J14)/2920</f>
        <v>0.4416666666666666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0.33333333333333331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345358.94400000002</v>
      </c>
      <c r="D24" s="83"/>
      <c r="E24" s="200"/>
      <c r="I24" s="148" t="s">
        <v>180</v>
      </c>
      <c r="J24" s="148"/>
      <c r="K24" s="154">
        <f>J30/1180</f>
        <v>0</v>
      </c>
    </row>
    <row r="25" spans="2:11">
      <c r="B25" s="104" t="s">
        <v>11</v>
      </c>
      <c r="C25" s="65">
        <f>C26+C27+C28+C29+C30+C31</f>
        <v>6420</v>
      </c>
      <c r="D25" s="83"/>
      <c r="E25" s="200"/>
      <c r="I25" s="74" t="s">
        <v>181</v>
      </c>
      <c r="J25" s="74">
        <v>134</v>
      </c>
      <c r="K25" s="148"/>
    </row>
    <row r="26" spans="2:11">
      <c r="B26" s="78" t="s">
        <v>12</v>
      </c>
      <c r="C26" s="65">
        <f>34.98*12*0</f>
        <v>0</v>
      </c>
      <c r="D26" s="83" t="s">
        <v>13</v>
      </c>
      <c r="E26" s="200"/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351778.94400000002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(0.44*(3565+200)*1.5*1.15*1.083*1.302*3)+(0.44*(3708+200)*1.5*1.15*1.083*1.302*9)+(0.1*710*12)</f>
        <v>50582.846447897988</v>
      </c>
      <c r="D36" s="291" t="s">
        <v>675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108*(360.84*0.025*3+362.52*0.025*3+382.25*0.025*6)</f>
        <v>12051.665999999999</v>
      </c>
      <c r="D39" s="293" t="s">
        <v>676</v>
      </c>
      <c r="E39" s="199" t="s">
        <v>101</v>
      </c>
      <c r="H39" s="3"/>
    </row>
    <row r="40" spans="2:8" ht="15.75">
      <c r="B40" s="113" t="s">
        <v>31</v>
      </c>
      <c r="C40" s="294">
        <f>(16.86+17.53)*48</f>
        <v>1650.72</v>
      </c>
      <c r="D40" s="295" t="s">
        <v>677</v>
      </c>
      <c r="E40" s="200" t="s">
        <v>102</v>
      </c>
      <c r="H40" s="3"/>
    </row>
    <row r="41" spans="2:8" ht="25.5">
      <c r="B41" s="113" t="s">
        <v>32</v>
      </c>
      <c r="C41" s="294">
        <f>(49.72+51.71)*2*0</f>
        <v>0</v>
      </c>
      <c r="D41" s="295" t="s">
        <v>317</v>
      </c>
      <c r="E41" s="200"/>
      <c r="H41" s="3"/>
    </row>
    <row r="42" spans="2:8" ht="15.75">
      <c r="B42" s="113" t="s">
        <v>33</v>
      </c>
      <c r="C42" s="185">
        <f>0.26*134*12</f>
        <v>418.08000000000004</v>
      </c>
      <c r="D42" s="155" t="s">
        <v>279</v>
      </c>
      <c r="E42" s="200" t="s">
        <v>99</v>
      </c>
      <c r="H42" s="3"/>
    </row>
    <row r="43" spans="2:8" ht="15.75">
      <c r="B43" s="115" t="s">
        <v>34</v>
      </c>
      <c r="C43" s="185">
        <f>1.02*134*4</f>
        <v>546.72</v>
      </c>
      <c r="D43" s="155" t="s">
        <v>280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 t="s">
        <v>99</v>
      </c>
      <c r="H45" s="3"/>
    </row>
    <row r="46" spans="2:8" ht="15.75" hidden="1">
      <c r="B46" s="94" t="s">
        <v>216</v>
      </c>
      <c r="C46" s="70">
        <f>205.99*12*0</f>
        <v>0</v>
      </c>
      <c r="D46" s="186" t="s">
        <v>278</v>
      </c>
      <c r="E46" s="200" t="s">
        <v>99</v>
      </c>
      <c r="H46" s="3"/>
    </row>
    <row r="47" spans="2:8" ht="50.25" customHeight="1">
      <c r="B47" s="94" t="s">
        <v>40</v>
      </c>
      <c r="C47" s="299">
        <f>108*(211.42*6*1/12+226.93*6*1/12)</f>
        <v>23670.899999999998</v>
      </c>
      <c r="D47" s="297" t="s">
        <v>678</v>
      </c>
      <c r="E47" s="200" t="s">
        <v>101</v>
      </c>
      <c r="H47" s="3"/>
    </row>
    <row r="48" spans="2:8" ht="25.5">
      <c r="B48" s="94" t="s">
        <v>41</v>
      </c>
      <c r="C48" s="296">
        <f>0*(232.8*6+243.11*6)</f>
        <v>0</v>
      </c>
      <c r="D48" s="300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88920.932447897983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(5.35*96.4189*3)+(5.35*100.2864*9)+(1.78*(C14+C15)*12)</f>
        <v>49425.257505000001</v>
      </c>
      <c r="D51" s="301" t="s">
        <v>679</v>
      </c>
      <c r="E51" s="204"/>
    </row>
    <row r="52" spans="2:5">
      <c r="B52" s="115" t="s">
        <v>45</v>
      </c>
      <c r="C52" s="65">
        <f>13.69*982</f>
        <v>13443.58</v>
      </c>
      <c r="D52" s="83" t="s">
        <v>680</v>
      </c>
      <c r="E52" s="200" t="s">
        <v>104</v>
      </c>
    </row>
    <row r="53" spans="2:5" ht="89.25">
      <c r="B53" s="172" t="s">
        <v>94</v>
      </c>
      <c r="C53" s="70">
        <f>17.51*(C14+C15)</f>
        <v>35289.654000000002</v>
      </c>
      <c r="D53" s="83" t="s">
        <v>681</v>
      </c>
      <c r="E53" s="200"/>
    </row>
    <row r="54" spans="2:5" ht="51">
      <c r="B54" s="113" t="s">
        <v>46</v>
      </c>
      <c r="C54" s="294">
        <f>(632.04+251.07/3)*7910/1000</f>
        <v>5661.4242999999997</v>
      </c>
      <c r="D54" s="301" t="s">
        <v>682</v>
      </c>
      <c r="E54" s="94" t="s">
        <v>105</v>
      </c>
    </row>
    <row r="55" spans="2:5" ht="51">
      <c r="B55" s="121" t="s">
        <v>47</v>
      </c>
      <c r="C55" s="302">
        <f>((276.36/12*3*96.4189)+(276.36/12*9*100.2864))+((276.36/12*3*96.4189)+(276.36/12*9*100.2864))/1.302*25%</f>
        <v>32718.286465290323</v>
      </c>
      <c r="D55" s="301" t="s">
        <v>683</v>
      </c>
      <c r="E55" s="200"/>
    </row>
    <row r="56" spans="2:5" ht="15.75">
      <c r="B56" s="122" t="s">
        <v>48</v>
      </c>
      <c r="C56" s="117">
        <f>C51+C52+C53+C54+C55</f>
        <v>136538.20227029035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3.05*(C14+0)</f>
        <v>6146.97</v>
      </c>
      <c r="D64" s="126" t="s">
        <v>684</v>
      </c>
      <c r="E64" s="200"/>
    </row>
    <row r="65" spans="2:8" ht="15.75">
      <c r="B65" s="130" t="s">
        <v>57</v>
      </c>
      <c r="C65" s="131">
        <f>1.49*(C14+0)</f>
        <v>3002.9459999999999</v>
      </c>
      <c r="D65" s="131" t="s">
        <v>855</v>
      </c>
      <c r="E65" s="200"/>
      <c r="H65" s="4"/>
    </row>
    <row r="66" spans="2:8">
      <c r="B66" s="78" t="s">
        <v>58</v>
      </c>
      <c r="C66" s="95">
        <f>(C49+C56)*0.341</f>
        <v>76881.564938902229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39908.972354735954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125940.45329363819</v>
      </c>
      <c r="D68" s="128"/>
      <c r="E68" s="200"/>
    </row>
    <row r="69" spans="2:8">
      <c r="B69" s="78" t="s">
        <v>59</v>
      </c>
      <c r="C69" s="95">
        <f>(C49+C56+C63+C68)*3%</f>
        <v>10541.987640354795</v>
      </c>
      <c r="D69" s="126"/>
      <c r="E69" s="200"/>
    </row>
    <row r="70" spans="2:8" ht="15.75">
      <c r="B70" s="133" t="s">
        <v>23</v>
      </c>
      <c r="C70" s="134">
        <f>C49+C56+C63+C68+C69</f>
        <v>361941.57565218129</v>
      </c>
      <c r="D70" s="135"/>
      <c r="E70" s="200"/>
    </row>
    <row r="71" spans="2:8" ht="15.75">
      <c r="B71" s="133" t="s">
        <v>60</v>
      </c>
      <c r="C71" s="134">
        <f>C70*1.18</f>
        <v>427091.05926957389</v>
      </c>
      <c r="D71" s="135"/>
      <c r="E71" s="108"/>
    </row>
    <row r="72" spans="2:8" ht="15.75">
      <c r="B72" s="136"/>
      <c r="C72" s="137">
        <f>C33-C71</f>
        <v>-75312.115269573871</v>
      </c>
      <c r="D72" s="138"/>
      <c r="E72" s="200"/>
    </row>
    <row r="73" spans="2:8" ht="30">
      <c r="B73" s="159" t="s">
        <v>106</v>
      </c>
      <c r="C73" s="188">
        <f>C71/(C14+C15)/12</f>
        <v>17.659482785450937</v>
      </c>
      <c r="D73" s="189" t="s">
        <v>141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9.75" customHeight="1">
      <c r="B76" s="348" t="s">
        <v>334</v>
      </c>
      <c r="C76" s="348"/>
      <c r="D76" s="348"/>
      <c r="E76" s="348"/>
    </row>
    <row r="77" spans="2:8" ht="33.75" customHeight="1">
      <c r="B77" s="348" t="s">
        <v>335</v>
      </c>
      <c r="C77" s="348"/>
      <c r="D77" s="348"/>
      <c r="E77" s="348"/>
    </row>
    <row r="78" spans="2:8" ht="23.25" customHeight="1">
      <c r="B78" s="163"/>
      <c r="C78" s="192"/>
      <c r="D78" s="193"/>
      <c r="E78" s="174"/>
    </row>
    <row r="79" spans="2:8">
      <c r="B79" s="164"/>
      <c r="C79" s="194"/>
      <c r="D79" s="195"/>
      <c r="E79" s="174"/>
    </row>
    <row r="80" spans="2:8">
      <c r="B80" s="344" t="s">
        <v>213</v>
      </c>
      <c r="C80" s="344"/>
      <c r="D80" s="344"/>
      <c r="E80" s="174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</sheetData>
  <mergeCells count="6">
    <mergeCell ref="B80:D80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B3:K107"/>
  <sheetViews>
    <sheetView workbookViewId="0">
      <selection activeCell="U16" sqref="U16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5.7109375" style="9" customWidth="1"/>
    <col min="6" max="6" width="4.28515625" style="62" customWidth="1"/>
    <col min="7" max="7" width="11" style="62" hidden="1" customWidth="1"/>
    <col min="8" max="8" width="0" style="62" hidden="1" customWidth="1"/>
    <col min="9" max="9" width="16.5703125" style="62" hidden="1" customWidth="1"/>
    <col min="10" max="12" width="0" style="62" hidden="1" customWidth="1"/>
    <col min="13" max="16384" width="9.140625" style="62"/>
  </cols>
  <sheetData>
    <row r="3" spans="2:11" ht="15.75">
      <c r="D3" s="176" t="s">
        <v>0</v>
      </c>
      <c r="E3" s="174"/>
    </row>
    <row r="4" spans="2:11" ht="15.75">
      <c r="D4" s="176" t="s">
        <v>298</v>
      </c>
      <c r="E4" s="174"/>
    </row>
    <row r="5" spans="2:11" ht="15.75">
      <c r="D5" s="176" t="s">
        <v>206</v>
      </c>
      <c r="E5" s="174"/>
      <c r="I5" s="146" t="s">
        <v>160</v>
      </c>
      <c r="J5" s="283">
        <v>13.48</v>
      </c>
      <c r="K5" s="148" t="s">
        <v>186</v>
      </c>
    </row>
    <row r="6" spans="2:11" ht="15.75">
      <c r="D6" s="176"/>
      <c r="E6" s="174"/>
      <c r="I6" s="147" t="s">
        <v>162</v>
      </c>
      <c r="J6" s="147">
        <v>1529</v>
      </c>
      <c r="K6" s="148"/>
    </row>
    <row r="7" spans="2:11" ht="15.75">
      <c r="D7" s="176" t="s">
        <v>297</v>
      </c>
      <c r="E7" s="174"/>
      <c r="I7" s="147" t="s">
        <v>163</v>
      </c>
      <c r="J7" s="147">
        <v>37</v>
      </c>
      <c r="K7" s="148"/>
    </row>
    <row r="8" spans="2:11" ht="15.75">
      <c r="D8" s="66"/>
      <c r="I8" s="147" t="s">
        <v>164</v>
      </c>
      <c r="J8" s="283">
        <v>79</v>
      </c>
      <c r="K8" s="148"/>
    </row>
    <row r="9" spans="2:11" ht="15.75">
      <c r="D9" s="66"/>
      <c r="I9" s="149" t="s">
        <v>165</v>
      </c>
      <c r="J9" s="147">
        <v>8327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0</v>
      </c>
      <c r="K10" s="148"/>
    </row>
    <row r="11" spans="2:11" ht="15" customHeight="1">
      <c r="B11" s="347" t="s">
        <v>125</v>
      </c>
      <c r="C11" s="347"/>
      <c r="D11" s="347"/>
      <c r="E11" s="347"/>
      <c r="I11" s="147" t="s">
        <v>167</v>
      </c>
      <c r="J11" s="147">
        <v>982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9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1529</v>
      </c>
      <c r="D14" s="77" t="s">
        <v>61</v>
      </c>
      <c r="I14" s="147" t="s">
        <v>170</v>
      </c>
      <c r="J14" s="147">
        <v>1191</v>
      </c>
      <c r="K14" s="148"/>
    </row>
    <row r="15" spans="2:11" s="6" customFormat="1" ht="15.75">
      <c r="B15" s="86" t="s">
        <v>3</v>
      </c>
      <c r="C15" s="87">
        <f>171.5+74.3+171+96.2</f>
        <v>513</v>
      </c>
      <c r="D15" s="88"/>
      <c r="E15" s="89"/>
      <c r="I15" s="147" t="s">
        <v>171</v>
      </c>
      <c r="J15" s="6">
        <v>1762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37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181.44918451425801</v>
      </c>
      <c r="K17" s="148"/>
    </row>
    <row r="18" spans="2:11">
      <c r="B18" s="93" t="s">
        <v>7</v>
      </c>
      <c r="C18" s="198">
        <f>C14*13.48*12</f>
        <v>247331.04000000004</v>
      </c>
      <c r="D18" s="155" t="s">
        <v>685</v>
      </c>
      <c r="E18" s="199" t="s">
        <v>99</v>
      </c>
      <c r="I18" s="147" t="s">
        <v>174</v>
      </c>
      <c r="J18" s="147">
        <v>5.05</v>
      </c>
      <c r="K18" s="148"/>
    </row>
    <row r="19" spans="2:11" ht="38.25">
      <c r="B19" s="94" t="s">
        <v>8</v>
      </c>
      <c r="C19" s="325">
        <f>79*(211.42*6*1.45/12+226.93*6*1.45/12)*1.18</f>
        <v>29625.665574999999</v>
      </c>
      <c r="D19" s="326" t="s">
        <v>686</v>
      </c>
      <c r="E19" s="200"/>
      <c r="I19" s="147" t="s">
        <v>175</v>
      </c>
      <c r="J19" s="150">
        <v>0.61</v>
      </c>
      <c r="K19" s="154">
        <f>(J15/3+J14)/2920</f>
        <v>0.60901826484018273</v>
      </c>
    </row>
    <row r="20" spans="2:11">
      <c r="B20" s="96" t="s">
        <v>9</v>
      </c>
      <c r="C20" s="95">
        <f>C21+C24+C27+C30</f>
        <v>100234.427136</v>
      </c>
      <c r="D20" s="97"/>
      <c r="E20" s="200"/>
      <c r="I20" s="151" t="s">
        <v>176</v>
      </c>
      <c r="J20" s="151"/>
      <c r="K20" s="154">
        <f>J7/144</f>
        <v>0.25694444444444442</v>
      </c>
    </row>
    <row r="21" spans="2:11">
      <c r="B21" s="78" t="s">
        <v>693</v>
      </c>
      <c r="C21" s="98">
        <f>C22+C23</f>
        <v>29190.700404000003</v>
      </c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 t="s">
        <v>63</v>
      </c>
      <c r="C22" s="178">
        <f>171.5*13.48*12</f>
        <v>27741.840000000004</v>
      </c>
      <c r="D22" s="181" t="s">
        <v>691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327">
        <f>0.43*(232.8*1.18*6+243.11*1.18*6)</f>
        <v>1448.860404</v>
      </c>
      <c r="D23" s="328" t="s">
        <v>692</v>
      </c>
      <c r="E23" s="200" t="s">
        <v>99</v>
      </c>
      <c r="I23" s="74" t="s">
        <v>179</v>
      </c>
      <c r="J23" s="74"/>
      <c r="K23" s="148"/>
    </row>
    <row r="24" spans="2:11">
      <c r="B24" s="78" t="s">
        <v>281</v>
      </c>
      <c r="C24" s="98">
        <f>C25+C26</f>
        <v>18926.125739999999</v>
      </c>
      <c r="D24" s="99"/>
      <c r="E24" s="200"/>
      <c r="I24" s="148" t="s">
        <v>180</v>
      </c>
      <c r="J24" s="148"/>
      <c r="K24" s="154">
        <f>J30/1180</f>
        <v>0</v>
      </c>
    </row>
    <row r="25" spans="2:11">
      <c r="B25" s="100" t="s">
        <v>63</v>
      </c>
      <c r="C25" s="178">
        <f>74.3*13.48*12</f>
        <v>12018.768</v>
      </c>
      <c r="D25" s="181" t="s">
        <v>687</v>
      </c>
      <c r="E25" s="200" t="s">
        <v>99</v>
      </c>
      <c r="I25" s="74" t="s">
        <v>181</v>
      </c>
      <c r="J25" s="74">
        <v>156</v>
      </c>
      <c r="K25" s="148"/>
    </row>
    <row r="26" spans="2:11" ht="25.5">
      <c r="B26" s="100" t="s">
        <v>64</v>
      </c>
      <c r="C26" s="327">
        <f>2.05*(232.8*1.18*6+243.11*1.18*6)</f>
        <v>6907.3577400000004</v>
      </c>
      <c r="D26" s="328" t="s">
        <v>688</v>
      </c>
      <c r="E26" s="200" t="s">
        <v>99</v>
      </c>
    </row>
    <row r="27" spans="2:11">
      <c r="B27" s="78" t="s">
        <v>200</v>
      </c>
      <c r="C27" s="98">
        <f>C28+C29</f>
        <v>29648.931251999998</v>
      </c>
      <c r="D27" s="99"/>
      <c r="E27" s="200"/>
    </row>
    <row r="28" spans="2:11">
      <c r="B28" s="100" t="s">
        <v>63</v>
      </c>
      <c r="C28" s="178">
        <f>171*13.48*12</f>
        <v>27660.959999999999</v>
      </c>
      <c r="D28" s="181" t="s">
        <v>690</v>
      </c>
      <c r="E28" s="200" t="s">
        <v>99</v>
      </c>
    </row>
    <row r="29" spans="2:11" ht="25.5">
      <c r="B29" s="100" t="s">
        <v>64</v>
      </c>
      <c r="C29" s="327">
        <f>0.59*(232.8*1.18*6+243.11*1.18*6)</f>
        <v>1987.971252</v>
      </c>
      <c r="D29" s="328" t="s">
        <v>369</v>
      </c>
      <c r="E29" s="200" t="s">
        <v>99</v>
      </c>
    </row>
    <row r="30" spans="2:11">
      <c r="B30" s="78" t="s">
        <v>88</v>
      </c>
      <c r="C30" s="98">
        <f>C31+C32</f>
        <v>22468.669740000001</v>
      </c>
      <c r="D30" s="99"/>
      <c r="E30" s="200"/>
    </row>
    <row r="31" spans="2:11">
      <c r="B31" s="100" t="s">
        <v>63</v>
      </c>
      <c r="C31" s="178">
        <f>96.2*13.48*12</f>
        <v>15561.312000000002</v>
      </c>
      <c r="D31" s="181" t="s">
        <v>689</v>
      </c>
      <c r="E31" s="200" t="s">
        <v>99</v>
      </c>
    </row>
    <row r="32" spans="2:11" ht="25.5">
      <c r="B32" s="100" t="s">
        <v>64</v>
      </c>
      <c r="C32" s="327">
        <f>2.05*(232.8*1.18*6+243.11*1.18*6)</f>
        <v>6907.3577400000004</v>
      </c>
      <c r="D32" s="328" t="s">
        <v>688</v>
      </c>
      <c r="E32" s="200" t="s">
        <v>99</v>
      </c>
    </row>
    <row r="33" spans="2:8" ht="15.75">
      <c r="B33" s="103" t="s">
        <v>10</v>
      </c>
      <c r="C33" s="65">
        <f>C18+C20</f>
        <v>347565.46713600005</v>
      </c>
      <c r="D33" s="83"/>
      <c r="E33" s="108"/>
    </row>
    <row r="34" spans="2:8">
      <c r="B34" s="104" t="s">
        <v>11</v>
      </c>
      <c r="C34" s="65">
        <f>C35+C36+C37+C38+C39+C40</f>
        <v>6839.76</v>
      </c>
      <c r="D34" s="83"/>
      <c r="E34" s="200"/>
    </row>
    <row r="35" spans="2:8">
      <c r="B35" s="78" t="s">
        <v>12</v>
      </c>
      <c r="C35" s="65">
        <f>34.98*12</f>
        <v>419.76</v>
      </c>
      <c r="D35" s="83" t="s">
        <v>13</v>
      </c>
      <c r="E35" s="200" t="s">
        <v>99</v>
      </c>
    </row>
    <row r="36" spans="2:8">
      <c r="B36" s="78" t="s">
        <v>14</v>
      </c>
      <c r="C36" s="65">
        <f>137.5*12</f>
        <v>1650</v>
      </c>
      <c r="D36" s="107" t="s">
        <v>15</v>
      </c>
      <c r="E36" s="200" t="s">
        <v>99</v>
      </c>
    </row>
    <row r="37" spans="2:8">
      <c r="B37" s="78" t="s">
        <v>16</v>
      </c>
      <c r="C37" s="65">
        <f>123.75*12</f>
        <v>1485</v>
      </c>
      <c r="D37" s="107" t="s">
        <v>17</v>
      </c>
      <c r="E37" s="200" t="s">
        <v>99</v>
      </c>
    </row>
    <row r="38" spans="2:8">
      <c r="B38" s="78" t="s">
        <v>18</v>
      </c>
      <c r="C38" s="65">
        <f>123.75*12</f>
        <v>1485</v>
      </c>
      <c r="D38" s="107" t="s">
        <v>17</v>
      </c>
      <c r="E38" s="200" t="s">
        <v>99</v>
      </c>
    </row>
    <row r="39" spans="2:8">
      <c r="B39" s="78" t="s">
        <v>19</v>
      </c>
      <c r="C39" s="65">
        <f>150*12</f>
        <v>1800</v>
      </c>
      <c r="D39" s="107" t="s">
        <v>20</v>
      </c>
      <c r="E39" s="200" t="s">
        <v>99</v>
      </c>
    </row>
    <row r="40" spans="2:8">
      <c r="B40" s="78" t="s">
        <v>69</v>
      </c>
      <c r="C40" s="65">
        <f>137.5*12*0</f>
        <v>0</v>
      </c>
      <c r="D40" s="107" t="s">
        <v>15</v>
      </c>
      <c r="E40" s="108"/>
    </row>
    <row r="41" spans="2:8">
      <c r="B41" s="104" t="s">
        <v>21</v>
      </c>
      <c r="C41" s="65">
        <v>0</v>
      </c>
      <c r="D41" s="107"/>
      <c r="E41" s="108"/>
    </row>
    <row r="42" spans="2:8" ht="18.75">
      <c r="B42" s="105" t="s">
        <v>23</v>
      </c>
      <c r="C42" s="106">
        <f>C33+C34+C41</f>
        <v>354405.22713600006</v>
      </c>
      <c r="D42" s="107"/>
      <c r="E42" s="108"/>
    </row>
    <row r="43" spans="2:8" ht="15.75">
      <c r="B43" s="91" t="s">
        <v>24</v>
      </c>
      <c r="C43" s="109" t="s">
        <v>5</v>
      </c>
      <c r="D43" s="110" t="s">
        <v>25</v>
      </c>
      <c r="E43" s="108"/>
    </row>
    <row r="44" spans="2:8" ht="15.75">
      <c r="B44" s="111" t="s">
        <v>26</v>
      </c>
      <c r="C44" s="95"/>
      <c r="D44" s="112"/>
      <c r="E44" s="108"/>
      <c r="H44" s="2"/>
    </row>
    <row r="45" spans="2:8" ht="51">
      <c r="B45" s="113" t="s">
        <v>27</v>
      </c>
      <c r="C45" s="329">
        <f>(0.61*(3565+200)*1.5*1.15*1.083*1.302*3)+(0.61*(3708+200)*1.5*1.15*1.083*1.302*9)+(0.1*1191*12)</f>
        <v>70374.237120949503</v>
      </c>
      <c r="D45" s="330" t="s">
        <v>694</v>
      </c>
      <c r="E45" s="200" t="s">
        <v>100</v>
      </c>
      <c r="H45" s="3"/>
    </row>
    <row r="46" spans="2:8" ht="15.75">
      <c r="B46" s="113" t="s">
        <v>28</v>
      </c>
      <c r="C46" s="183"/>
      <c r="D46" s="184"/>
      <c r="E46" s="200"/>
      <c r="H46" s="3"/>
    </row>
    <row r="47" spans="2:8" ht="15.75">
      <c r="B47" s="113" t="s">
        <v>29</v>
      </c>
      <c r="C47" s="183"/>
      <c r="D47" s="184"/>
      <c r="E47" s="200"/>
      <c r="H47" s="3"/>
    </row>
    <row r="48" spans="2:8" s="7" customFormat="1" ht="51">
      <c r="B48" s="113" t="s">
        <v>30</v>
      </c>
      <c r="C48" s="331">
        <f>79*(360.84*0.025*3+362.52*0.025*3+382.25*0.025*6)</f>
        <v>8815.5704999999998</v>
      </c>
      <c r="D48" s="332" t="s">
        <v>695</v>
      </c>
      <c r="E48" s="199" t="s">
        <v>101</v>
      </c>
      <c r="H48" s="3"/>
    </row>
    <row r="49" spans="2:8" ht="15.75">
      <c r="B49" s="113" t="s">
        <v>31</v>
      </c>
      <c r="C49" s="333">
        <f>(16.86+17.53)*37</f>
        <v>1272.43</v>
      </c>
      <c r="D49" s="334" t="s">
        <v>696</v>
      </c>
      <c r="E49" s="200" t="s">
        <v>102</v>
      </c>
      <c r="H49" s="3"/>
    </row>
    <row r="50" spans="2:8" ht="38.25" customHeight="1">
      <c r="B50" s="113" t="s">
        <v>32</v>
      </c>
      <c r="C50" s="333">
        <f>(49.72+51.71)*2*37</f>
        <v>7505.8200000000006</v>
      </c>
      <c r="D50" s="334" t="s">
        <v>697</v>
      </c>
      <c r="E50" s="200" t="s">
        <v>103</v>
      </c>
      <c r="H50" s="3"/>
    </row>
    <row r="51" spans="2:8" ht="15.75">
      <c r="B51" s="113" t="s">
        <v>33</v>
      </c>
      <c r="C51" s="185">
        <f>0.26*156*12</f>
        <v>486.72</v>
      </c>
      <c r="D51" s="155" t="s">
        <v>282</v>
      </c>
      <c r="E51" s="200" t="s">
        <v>99</v>
      </c>
      <c r="H51" s="3"/>
    </row>
    <row r="52" spans="2:8" ht="18" customHeight="1">
      <c r="B52" s="115" t="s">
        <v>34</v>
      </c>
      <c r="C52" s="185">
        <f>1.02*156*4</f>
        <v>636.48</v>
      </c>
      <c r="D52" s="155" t="s">
        <v>283</v>
      </c>
      <c r="E52" s="200" t="s">
        <v>103</v>
      </c>
      <c r="H52" s="3"/>
    </row>
    <row r="53" spans="2:8" ht="25.5">
      <c r="B53" s="94" t="s">
        <v>35</v>
      </c>
      <c r="C53" s="335">
        <f>(700.55*6+728.57*6)*0</f>
        <v>0</v>
      </c>
      <c r="D53" s="336" t="s">
        <v>320</v>
      </c>
      <c r="E53" s="200" t="s">
        <v>99</v>
      </c>
      <c r="H53" s="3"/>
    </row>
    <row r="54" spans="2:8" ht="25.5">
      <c r="B54" s="94" t="s">
        <v>70</v>
      </c>
      <c r="C54" s="337">
        <f>(695.13*6+722.94*6)*0</f>
        <v>0</v>
      </c>
      <c r="D54" s="336" t="s">
        <v>321</v>
      </c>
      <c r="E54" s="200" t="s">
        <v>99</v>
      </c>
      <c r="H54" s="3"/>
    </row>
    <row r="55" spans="2:8" ht="15.75" hidden="1">
      <c r="B55" s="94" t="s">
        <v>36</v>
      </c>
      <c r="C55" s="70">
        <f>0/1.18*12</f>
        <v>0</v>
      </c>
      <c r="D55" s="69" t="s">
        <v>37</v>
      </c>
      <c r="E55" s="200"/>
      <c r="H55" s="3"/>
    </row>
    <row r="56" spans="2:8" ht="15.75" hidden="1">
      <c r="B56" s="94" t="s">
        <v>182</v>
      </c>
      <c r="C56" s="70">
        <f>2473.28*0</f>
        <v>0</v>
      </c>
      <c r="D56" s="69" t="s">
        <v>201</v>
      </c>
      <c r="E56" s="108"/>
      <c r="H56" s="3"/>
    </row>
    <row r="57" spans="2:8" ht="50.25" customHeight="1">
      <c r="B57" s="94" t="s">
        <v>40</v>
      </c>
      <c r="C57" s="338">
        <f>79*(211.42*6*1.45/12+226.93*6*1.45/12)</f>
        <v>25106.49625</v>
      </c>
      <c r="D57" s="336" t="s">
        <v>698</v>
      </c>
      <c r="E57" s="200" t="s">
        <v>101</v>
      </c>
      <c r="H57" s="3"/>
    </row>
    <row r="58" spans="2:8" ht="25.5">
      <c r="B58" s="94" t="s">
        <v>41</v>
      </c>
      <c r="C58" s="335">
        <f>5.12*(232.8*6+243.11*6)</f>
        <v>14619.9552</v>
      </c>
      <c r="D58" s="339" t="s">
        <v>699</v>
      </c>
      <c r="E58" s="200" t="s">
        <v>101</v>
      </c>
      <c r="H58" s="3"/>
    </row>
    <row r="59" spans="2:8" ht="15.75">
      <c r="B59" s="116" t="s">
        <v>42</v>
      </c>
      <c r="C59" s="117">
        <f>C45+C46+C47+C48+C49+C50+C51+C52+C53+C54+C56+C57+C58+C55</f>
        <v>128817.7090709495</v>
      </c>
      <c r="D59" s="118"/>
      <c r="E59" s="108"/>
    </row>
    <row r="60" spans="2:8">
      <c r="B60" s="113" t="s">
        <v>43</v>
      </c>
      <c r="C60" s="65"/>
      <c r="D60" s="83"/>
      <c r="E60" s="200"/>
    </row>
    <row r="61" spans="2:8" s="8" customFormat="1" ht="51">
      <c r="B61" s="119" t="s">
        <v>44</v>
      </c>
      <c r="C61" s="333">
        <f>(5.05*96.4189*3)+(5.05*100.2864*9)+(1.78*(C14+C15)*12)</f>
        <v>49635.883215000002</v>
      </c>
      <c r="D61" s="340" t="s">
        <v>700</v>
      </c>
      <c r="E61" s="204"/>
    </row>
    <row r="62" spans="2:8">
      <c r="B62" s="115" t="s">
        <v>45</v>
      </c>
      <c r="C62" s="65">
        <f>13.69*982</f>
        <v>13443.58</v>
      </c>
      <c r="D62" s="83" t="s">
        <v>680</v>
      </c>
      <c r="E62" s="200" t="s">
        <v>104</v>
      </c>
    </row>
    <row r="63" spans="2:8" ht="89.25">
      <c r="B63" s="172" t="s">
        <v>94</v>
      </c>
      <c r="C63" s="70">
        <f>17.51*(C14+C15)*0</f>
        <v>0</v>
      </c>
      <c r="D63" s="83" t="s">
        <v>704</v>
      </c>
      <c r="E63" s="200"/>
    </row>
    <row r="64" spans="2:8" ht="51">
      <c r="B64" s="113" t="s">
        <v>46</v>
      </c>
      <c r="C64" s="333">
        <f>(632.04+251.07/3)*8327/1000</f>
        <v>5959.8837100000001</v>
      </c>
      <c r="D64" s="340" t="s">
        <v>701</v>
      </c>
      <c r="E64" s="94" t="s">
        <v>105</v>
      </c>
    </row>
    <row r="65" spans="2:8" ht="51">
      <c r="B65" s="121" t="s">
        <v>47</v>
      </c>
      <c r="C65" s="341">
        <f>((181.45/12*3*96.4189)+(181.45/12*9*100.2864))+((181.45/12*3*96.4189)+(181.45/12*9*100.2864))/1.302*25%</f>
        <v>21481.882613717356</v>
      </c>
      <c r="D65" s="340" t="s">
        <v>702</v>
      </c>
      <c r="E65" s="200"/>
    </row>
    <row r="66" spans="2:8" ht="15.75">
      <c r="B66" s="122" t="s">
        <v>48</v>
      </c>
      <c r="C66" s="117">
        <f>C61+C62+C63+C64+C65</f>
        <v>90521.229538717365</v>
      </c>
      <c r="D66" s="118"/>
      <c r="E66" s="200"/>
    </row>
    <row r="67" spans="2:8">
      <c r="B67" s="121" t="s">
        <v>49</v>
      </c>
      <c r="C67" s="65"/>
      <c r="D67" s="83"/>
      <c r="E67" s="200"/>
    </row>
    <row r="68" spans="2:8" s="7" customFormat="1" ht="12.75">
      <c r="B68" s="123" t="s">
        <v>50</v>
      </c>
      <c r="C68" s="124"/>
      <c r="D68" s="125"/>
      <c r="E68" s="199"/>
    </row>
    <row r="69" spans="2:8">
      <c r="B69" s="121" t="s">
        <v>51</v>
      </c>
      <c r="C69" s="95"/>
      <c r="D69" s="126"/>
      <c r="E69" s="200"/>
    </row>
    <row r="70" spans="2:8">
      <c r="B70" s="121" t="s">
        <v>52</v>
      </c>
      <c r="C70" s="95"/>
      <c r="D70" s="126"/>
      <c r="E70" s="200"/>
    </row>
    <row r="71" spans="2:8">
      <c r="B71" s="121" t="s">
        <v>53</v>
      </c>
      <c r="C71" s="95"/>
      <c r="D71" s="126"/>
      <c r="E71" s="200"/>
    </row>
    <row r="72" spans="2:8">
      <c r="B72" s="121" t="s">
        <v>54</v>
      </c>
      <c r="C72" s="95"/>
      <c r="D72" s="126"/>
      <c r="E72" s="200"/>
    </row>
    <row r="73" spans="2:8" ht="15.75">
      <c r="B73" s="122" t="s">
        <v>55</v>
      </c>
      <c r="C73" s="127">
        <f>C68+C69</f>
        <v>0</v>
      </c>
      <c r="D73" s="128"/>
      <c r="E73" s="200"/>
    </row>
    <row r="74" spans="2:8">
      <c r="B74" s="129" t="s">
        <v>56</v>
      </c>
      <c r="C74" s="95">
        <f>3.05*(C14+C15)</f>
        <v>6228.0999999999995</v>
      </c>
      <c r="D74" s="126" t="s">
        <v>703</v>
      </c>
      <c r="E74" s="200"/>
    </row>
    <row r="75" spans="2:8" ht="15.75">
      <c r="B75" s="130" t="s">
        <v>57</v>
      </c>
      <c r="C75" s="131">
        <f>1.49*(C14+C15)</f>
        <v>3042.58</v>
      </c>
      <c r="D75" s="131" t="s">
        <v>856</v>
      </c>
      <c r="E75" s="200"/>
      <c r="H75" s="4"/>
    </row>
    <row r="76" spans="2:8">
      <c r="B76" s="78" t="s">
        <v>58</v>
      </c>
      <c r="C76" s="95">
        <f>(C59+C66)*0.341</f>
        <v>74794.578065896407</v>
      </c>
      <c r="D76" s="126" t="s">
        <v>331</v>
      </c>
      <c r="E76" s="200"/>
    </row>
    <row r="77" spans="2:8" ht="38.25">
      <c r="B77" s="78" t="s">
        <v>95</v>
      </c>
      <c r="C77" s="131">
        <f>(C59+C66+C76)*0.132</f>
        <v>38825.62420117436</v>
      </c>
      <c r="D77" s="126" t="s">
        <v>332</v>
      </c>
      <c r="E77" s="200" t="s">
        <v>99</v>
      </c>
    </row>
    <row r="78" spans="2:8" ht="15.75">
      <c r="B78" s="157" t="s">
        <v>96</v>
      </c>
      <c r="C78" s="127">
        <f>C74+C75+C76+C77</f>
        <v>122890.88226707076</v>
      </c>
      <c r="D78" s="128"/>
      <c r="E78" s="200"/>
    </row>
    <row r="79" spans="2:8">
      <c r="B79" s="78" t="s">
        <v>59</v>
      </c>
      <c r="C79" s="95">
        <f>(C59+C66+C73+C78)*3%</f>
        <v>10266.894626302128</v>
      </c>
      <c r="D79" s="126"/>
      <c r="E79" s="200"/>
    </row>
    <row r="80" spans="2:8" ht="15.75">
      <c r="B80" s="133" t="s">
        <v>23</v>
      </c>
      <c r="C80" s="134">
        <f>C59+C66+C73+C78+C79</f>
        <v>352496.71550303971</v>
      </c>
      <c r="D80" s="135"/>
      <c r="E80" s="200"/>
    </row>
    <row r="81" spans="2:5" ht="15.75">
      <c r="B81" s="133" t="s">
        <v>60</v>
      </c>
      <c r="C81" s="134">
        <f>C80*1.18</f>
        <v>415946.12429358682</v>
      </c>
      <c r="D81" s="135"/>
      <c r="E81" s="108"/>
    </row>
    <row r="82" spans="2:5" ht="15.75">
      <c r="B82" s="136"/>
      <c r="C82" s="137">
        <f>C42-C81</f>
        <v>-61540.897157586762</v>
      </c>
      <c r="D82" s="138"/>
      <c r="E82" s="108"/>
    </row>
    <row r="83" spans="2:5" ht="30">
      <c r="B83" s="159" t="s">
        <v>106</v>
      </c>
      <c r="C83" s="188">
        <f>C81/(C14+C15)/12</f>
        <v>16.974621461540433</v>
      </c>
      <c r="D83" s="189" t="s">
        <v>705</v>
      </c>
      <c r="E83" s="226"/>
    </row>
    <row r="84" spans="2:5">
      <c r="B84" s="161"/>
      <c r="C84" s="190"/>
      <c r="D84" s="191"/>
      <c r="E84" s="205"/>
    </row>
    <row r="85" spans="2:5" ht="18.75" customHeight="1">
      <c r="B85" s="345" t="s">
        <v>97</v>
      </c>
      <c r="C85" s="345"/>
      <c r="D85" s="345"/>
      <c r="E85" s="303"/>
    </row>
    <row r="86" spans="2:5" ht="33" customHeight="1">
      <c r="B86" s="348" t="s">
        <v>334</v>
      </c>
      <c r="C86" s="348"/>
      <c r="D86" s="348"/>
      <c r="E86" s="348"/>
    </row>
    <row r="87" spans="2:5" ht="37.5" customHeight="1">
      <c r="B87" s="348" t="s">
        <v>335</v>
      </c>
      <c r="C87" s="348"/>
      <c r="D87" s="348"/>
      <c r="E87" s="348"/>
    </row>
    <row r="88" spans="2:5" ht="28.5" customHeight="1">
      <c r="B88" s="163"/>
      <c r="C88" s="192"/>
      <c r="D88" s="193"/>
      <c r="E88" s="174"/>
    </row>
    <row r="89" spans="2:5">
      <c r="B89" s="163"/>
      <c r="C89" s="192"/>
      <c r="D89" s="193"/>
      <c r="E89" s="174"/>
    </row>
    <row r="90" spans="2:5">
      <c r="B90" s="164"/>
      <c r="C90" s="194"/>
      <c r="D90" s="195"/>
      <c r="E90" s="174"/>
    </row>
    <row r="91" spans="2:5">
      <c r="B91" s="344" t="s">
        <v>208</v>
      </c>
      <c r="C91" s="344"/>
      <c r="D91" s="344"/>
    </row>
    <row r="100" spans="2:4" s="9" customFormat="1">
      <c r="B100" s="47"/>
      <c r="C100" s="47"/>
      <c r="D100" s="47"/>
    </row>
    <row r="101" spans="2:4" s="9" customFormat="1">
      <c r="B101" s="47"/>
      <c r="C101" s="47"/>
      <c r="D101" s="47"/>
    </row>
    <row r="102" spans="2:4" s="9" customFormat="1">
      <c r="B102" s="47"/>
      <c r="C102" s="47"/>
      <c r="D102" s="47"/>
    </row>
    <row r="103" spans="2:4" s="9" customFormat="1">
      <c r="B103" s="47"/>
      <c r="C103" s="47"/>
      <c r="D103" s="47"/>
    </row>
    <row r="104" spans="2:4" s="9" customFormat="1">
      <c r="B104" s="47"/>
      <c r="C104" s="47"/>
      <c r="D104" s="47"/>
    </row>
    <row r="105" spans="2:4" s="9" customFormat="1">
      <c r="B105" s="47"/>
      <c r="C105" s="47"/>
      <c r="D105" s="47"/>
    </row>
    <row r="106" spans="2:4" s="9" customFormat="1">
      <c r="B106" s="47"/>
      <c r="C106" s="47"/>
      <c r="D106" s="47"/>
    </row>
    <row r="107" spans="2:4" s="9" customFormat="1">
      <c r="B107" s="47"/>
      <c r="C107" s="47"/>
      <c r="D107" s="47"/>
    </row>
  </sheetData>
  <mergeCells count="6">
    <mergeCell ref="B91:D91"/>
    <mergeCell ref="B85:D85"/>
    <mergeCell ref="B10:E10"/>
    <mergeCell ref="B11:E12"/>
    <mergeCell ref="B86:E86"/>
    <mergeCell ref="B87:E87"/>
  </mergeCells>
  <pageMargins left="0.2" right="0.2" top="0.31" bottom="0.2" header="0.3" footer="0.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B3:K98"/>
  <sheetViews>
    <sheetView topLeftCell="A11" workbookViewId="0">
      <selection activeCell="T15" sqref="T1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42578125" style="9" customWidth="1"/>
    <col min="6" max="6" width="5.85546875" style="62" customWidth="1"/>
    <col min="7" max="7" width="11.5703125" style="62" hidden="1" customWidth="1"/>
    <col min="8" max="8" width="0" style="62" hidden="1" customWidth="1"/>
    <col min="9" max="9" width="17.42578125" style="62" hidden="1" customWidth="1"/>
    <col min="10" max="12" width="0" style="62" hidden="1" customWidth="1"/>
    <col min="13" max="16384" width="9.140625" style="62"/>
  </cols>
  <sheetData>
    <row r="3" spans="2:11" ht="15.75">
      <c r="D3" s="176" t="s">
        <v>0</v>
      </c>
      <c r="E3" s="174"/>
    </row>
    <row r="4" spans="2:11" ht="15.75">
      <c r="D4" s="176" t="s">
        <v>298</v>
      </c>
      <c r="E4" s="174"/>
      <c r="G4" s="220">
        <v>42767</v>
      </c>
    </row>
    <row r="5" spans="2:11" ht="15.75">
      <c r="D5" s="176" t="s">
        <v>206</v>
      </c>
      <c r="E5" s="174"/>
      <c r="I5" s="146" t="s">
        <v>160</v>
      </c>
      <c r="J5" s="283">
        <v>14.83</v>
      </c>
      <c r="K5" s="148" t="s">
        <v>186</v>
      </c>
    </row>
    <row r="6" spans="2:11" ht="15.75">
      <c r="D6" s="176"/>
      <c r="E6" s="174"/>
      <c r="I6" s="147" t="s">
        <v>162</v>
      </c>
      <c r="J6" s="147">
        <v>2550</v>
      </c>
      <c r="K6" s="148"/>
    </row>
    <row r="7" spans="2:11" ht="15.75">
      <c r="D7" s="176" t="s">
        <v>297</v>
      </c>
      <c r="E7" s="174"/>
      <c r="I7" s="147" t="s">
        <v>163</v>
      </c>
      <c r="J7" s="147">
        <v>64</v>
      </c>
      <c r="K7" s="148"/>
    </row>
    <row r="8" spans="2:11" ht="15.75">
      <c r="D8" s="66"/>
      <c r="I8" s="147" t="s">
        <v>164</v>
      </c>
      <c r="J8" s="283">
        <v>133</v>
      </c>
      <c r="K8" s="148"/>
    </row>
    <row r="9" spans="2:11" ht="15.75">
      <c r="D9" s="66"/>
      <c r="I9" s="149" t="s">
        <v>165</v>
      </c>
      <c r="J9" s="147">
        <v>10000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0</v>
      </c>
      <c r="K10" s="148"/>
    </row>
    <row r="11" spans="2:11" ht="15" customHeight="1">
      <c r="B11" s="347" t="s">
        <v>126</v>
      </c>
      <c r="C11" s="347"/>
      <c r="D11" s="347"/>
      <c r="E11" s="347"/>
      <c r="I11" s="147" t="s">
        <v>167</v>
      </c>
      <c r="J11" s="147">
        <v>851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9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2546.9</v>
      </c>
      <c r="D14" s="77" t="s">
        <v>61</v>
      </c>
      <c r="I14" s="147" t="s">
        <v>170</v>
      </c>
      <c r="J14" s="147">
        <v>736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1263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64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341.21602217067198</v>
      </c>
      <c r="K17" s="148"/>
    </row>
    <row r="18" spans="2:11">
      <c r="B18" s="93" t="s">
        <v>7</v>
      </c>
      <c r="C18" s="198">
        <f>C14*14.83*12</f>
        <v>453246.32400000002</v>
      </c>
      <c r="D18" s="155" t="s">
        <v>706</v>
      </c>
      <c r="E18" s="199" t="s">
        <v>99</v>
      </c>
      <c r="I18" s="147" t="s">
        <v>174</v>
      </c>
      <c r="J18" s="147">
        <v>5.98</v>
      </c>
      <c r="K18" s="148"/>
    </row>
    <row r="19" spans="2:11" ht="38.25">
      <c r="B19" s="94" t="s">
        <v>8</v>
      </c>
      <c r="C19" s="325">
        <f>133*(211.42*6*1.45/12+226.93*6*1.45/12)*1.18</f>
        <v>49876.120524999998</v>
      </c>
      <c r="D19" s="326" t="s">
        <v>709</v>
      </c>
      <c r="E19" s="200"/>
      <c r="I19" s="147" t="s">
        <v>175</v>
      </c>
      <c r="J19" s="150">
        <v>0.4</v>
      </c>
      <c r="K19" s="154">
        <f>(J15/3+J14)/2920</f>
        <v>0.39623287671232876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0.44444444444444442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453246.32400000002</v>
      </c>
      <c r="D24" s="83"/>
      <c r="E24" s="200"/>
      <c r="I24" s="148" t="s">
        <v>180</v>
      </c>
      <c r="J24" s="148"/>
      <c r="K24" s="154">
        <f>J30/1180</f>
        <v>0</v>
      </c>
    </row>
    <row r="25" spans="2:11">
      <c r="B25" s="104" t="s">
        <v>11</v>
      </c>
      <c r="C25" s="65">
        <f>C26+C27+C28+C29+C30+C31</f>
        <v>6839.76</v>
      </c>
      <c r="D25" s="83"/>
      <c r="E25" s="200"/>
      <c r="I25" s="74" t="s">
        <v>181</v>
      </c>
      <c r="J25" s="74">
        <v>244</v>
      </c>
      <c r="K25" s="148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460086.08400000003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329">
        <f>(0.4*(3565+200)*1.5*1.15*1.083*1.302*3)+(0.4*(3708+200)*1.5*1.15*1.083*1.302*9)+(0.1*736*12)</f>
        <v>46093.06040717999</v>
      </c>
      <c r="D36" s="330" t="s">
        <v>710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331">
        <f>133*(360.84*0.025*3+362.52*0.025*3+382.25*0.025*6)</f>
        <v>14841.4035</v>
      </c>
      <c r="D39" s="332" t="s">
        <v>711</v>
      </c>
      <c r="E39" s="199" t="s">
        <v>101</v>
      </c>
      <c r="H39" s="3"/>
    </row>
    <row r="40" spans="2:8" ht="15.75">
      <c r="B40" s="113" t="s">
        <v>31</v>
      </c>
      <c r="C40" s="333">
        <f>(16.86+17.53)*64</f>
        <v>2200.96</v>
      </c>
      <c r="D40" s="334" t="s">
        <v>342</v>
      </c>
      <c r="E40" s="200" t="s">
        <v>102</v>
      </c>
      <c r="H40" s="3"/>
    </row>
    <row r="41" spans="2:8" ht="25.5">
      <c r="B41" s="113" t="s">
        <v>32</v>
      </c>
      <c r="C41" s="333">
        <f>(49.72+51.71)*2*64</f>
        <v>12983.04</v>
      </c>
      <c r="D41" s="334" t="s">
        <v>343</v>
      </c>
      <c r="E41" s="200" t="s">
        <v>103</v>
      </c>
      <c r="H41" s="3"/>
    </row>
    <row r="42" spans="2:8" ht="15.75">
      <c r="B42" s="113" t="s">
        <v>33</v>
      </c>
      <c r="C42" s="185">
        <f>0.26*244*12</f>
        <v>761.28000000000009</v>
      </c>
      <c r="D42" s="155" t="s">
        <v>712</v>
      </c>
      <c r="E42" s="200" t="s">
        <v>99</v>
      </c>
      <c r="H42" s="3"/>
    </row>
    <row r="43" spans="2:8" ht="15.75">
      <c r="B43" s="115" t="s">
        <v>34</v>
      </c>
      <c r="C43" s="185">
        <f>1.02*244*4</f>
        <v>995.52</v>
      </c>
      <c r="D43" s="155" t="s">
        <v>284</v>
      </c>
      <c r="E43" s="200" t="s">
        <v>103</v>
      </c>
      <c r="H43" s="3"/>
    </row>
    <row r="44" spans="2:8" ht="25.5">
      <c r="B44" s="94" t="s">
        <v>35</v>
      </c>
      <c r="C44" s="335">
        <f>(700.55*6+728.57*6)</f>
        <v>8574.7199999999993</v>
      </c>
      <c r="D44" s="336" t="s">
        <v>320</v>
      </c>
      <c r="E44" s="200" t="s">
        <v>99</v>
      </c>
      <c r="H44" s="3"/>
    </row>
    <row r="45" spans="2:8" ht="25.5">
      <c r="B45" s="94" t="s">
        <v>70</v>
      </c>
      <c r="C45" s="337">
        <f>(695.13*6+722.94*6)*0</f>
        <v>0</v>
      </c>
      <c r="D45" s="336" t="s">
        <v>321</v>
      </c>
      <c r="E45" s="200" t="s">
        <v>99</v>
      </c>
      <c r="H45" s="3"/>
    </row>
    <row r="46" spans="2:8" ht="15.75" hidden="1">
      <c r="B46" s="94" t="s">
        <v>216</v>
      </c>
      <c r="C46" s="70">
        <f>577.54*11*0</f>
        <v>0</v>
      </c>
      <c r="D46" s="186" t="s">
        <v>707</v>
      </c>
      <c r="E46" s="200" t="s">
        <v>99</v>
      </c>
      <c r="H46" s="3"/>
    </row>
    <row r="47" spans="2:8" ht="50.25" customHeight="1">
      <c r="B47" s="94" t="s">
        <v>40</v>
      </c>
      <c r="C47" s="338">
        <f>133*(211.42*6*1.45/12+226.93*6*1.45/12)</f>
        <v>42267.89875</v>
      </c>
      <c r="D47" s="336" t="s">
        <v>713</v>
      </c>
      <c r="E47" s="200" t="s">
        <v>101</v>
      </c>
      <c r="H47" s="3"/>
    </row>
    <row r="48" spans="2:8" ht="25.5">
      <c r="B48" s="94" t="s">
        <v>41</v>
      </c>
      <c r="C48" s="335">
        <f>0*(232.8*6+243.11*6)</f>
        <v>0</v>
      </c>
      <c r="D48" s="339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128717.88265717999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333">
        <f>(5.98*96.4189*3)+(5.98*100.2864*9)+(1.78*(C14+C15)*12)</f>
        <v>61528.953113999996</v>
      </c>
      <c r="D51" s="340" t="s">
        <v>714</v>
      </c>
      <c r="E51" s="204"/>
    </row>
    <row r="52" spans="2:5">
      <c r="B52" s="115" t="s">
        <v>45</v>
      </c>
      <c r="C52" s="65">
        <f>13.69*851</f>
        <v>11650.189999999999</v>
      </c>
      <c r="D52" s="83" t="s">
        <v>715</v>
      </c>
      <c r="E52" s="200" t="s">
        <v>104</v>
      </c>
    </row>
    <row r="53" spans="2:5" ht="89.25">
      <c r="B53" s="172" t="s">
        <v>94</v>
      </c>
      <c r="C53" s="70">
        <f>17.51*(C14+C15)</f>
        <v>44596.219000000005</v>
      </c>
      <c r="D53" s="83" t="s">
        <v>716</v>
      </c>
      <c r="E53" s="200"/>
    </row>
    <row r="54" spans="2:5" ht="51">
      <c r="B54" s="113" t="s">
        <v>46</v>
      </c>
      <c r="C54" s="333">
        <f>(632.04+251.07/3)*10000/1000</f>
        <v>7157.3</v>
      </c>
      <c r="D54" s="340" t="s">
        <v>717</v>
      </c>
      <c r="E54" s="94" t="s">
        <v>105</v>
      </c>
    </row>
    <row r="55" spans="2:5" ht="51">
      <c r="B55" s="121" t="s">
        <v>47</v>
      </c>
      <c r="C55" s="341">
        <f>((341.22/12*3*96.4189)+(341.22/12*9*100.2864))+((341.22/12*3*96.4189)+(341.22/12*9*100.2864))/1.302*25%</f>
        <v>40397.067982654378</v>
      </c>
      <c r="D55" s="340" t="s">
        <v>718</v>
      </c>
      <c r="E55" s="200"/>
    </row>
    <row r="56" spans="2:5" ht="15.75">
      <c r="B56" s="122" t="s">
        <v>48</v>
      </c>
      <c r="C56" s="117">
        <f>C51+C52+C53+C54+C55</f>
        <v>165329.73009665438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3.05*(C14+0)</f>
        <v>7768.0450000000001</v>
      </c>
      <c r="D64" s="126" t="s">
        <v>719</v>
      </c>
      <c r="E64" s="200"/>
    </row>
    <row r="65" spans="2:8" ht="15.75">
      <c r="B65" s="130" t="s">
        <v>57</v>
      </c>
      <c r="C65" s="131">
        <f>1.49*(C14+0)</f>
        <v>3794.8810000000003</v>
      </c>
      <c r="D65" s="319" t="s">
        <v>857</v>
      </c>
      <c r="E65" s="200"/>
      <c r="H65" s="4"/>
    </row>
    <row r="66" spans="2:8">
      <c r="B66" s="78" t="s">
        <v>58</v>
      </c>
      <c r="C66" s="95">
        <f>(C49+C56)*0.341</f>
        <v>100270.23594905752</v>
      </c>
      <c r="D66" s="126" t="s">
        <v>331</v>
      </c>
      <c r="E66" s="200"/>
    </row>
    <row r="67" spans="2:8" ht="39" customHeight="1">
      <c r="B67" s="78" t="s">
        <v>95</v>
      </c>
      <c r="C67" s="131">
        <f>(C49+C56+C66)*0.132</f>
        <v>52049.956028781729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163883.11797783925</v>
      </c>
      <c r="D68" s="128"/>
      <c r="E68" s="200"/>
    </row>
    <row r="69" spans="2:8">
      <c r="B69" s="78" t="s">
        <v>59</v>
      </c>
      <c r="C69" s="95">
        <f>(C49+C56+C63+C68)*3%</f>
        <v>13737.921921950207</v>
      </c>
      <c r="D69" s="126"/>
      <c r="E69" s="200"/>
    </row>
    <row r="70" spans="2:8" ht="15.75">
      <c r="B70" s="133" t="s">
        <v>23</v>
      </c>
      <c r="C70" s="134">
        <f>C49+C56+C63+C68+C69</f>
        <v>471668.65265362378</v>
      </c>
      <c r="D70" s="135"/>
      <c r="E70" s="200"/>
    </row>
    <row r="71" spans="2:8" ht="15.75">
      <c r="B71" s="133" t="s">
        <v>60</v>
      </c>
      <c r="C71" s="134">
        <f>C70*1.18</f>
        <v>556569.01013127598</v>
      </c>
      <c r="D71" s="135"/>
      <c r="E71" s="108"/>
    </row>
    <row r="72" spans="2:8" ht="15.75">
      <c r="B72" s="136"/>
      <c r="C72" s="137">
        <f>C33-C71</f>
        <v>-96482.926131275948</v>
      </c>
      <c r="D72" s="138"/>
      <c r="E72" s="200"/>
    </row>
    <row r="73" spans="2:8" ht="30">
      <c r="B73" s="159" t="s">
        <v>106</v>
      </c>
      <c r="C73" s="188">
        <f>C71/(C14+C15)/12</f>
        <v>18.210668202235265</v>
      </c>
      <c r="D73" s="189" t="s">
        <v>708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9" customHeight="1">
      <c r="B76" s="348" t="s">
        <v>334</v>
      </c>
      <c r="C76" s="348"/>
      <c r="D76" s="348"/>
      <c r="E76" s="348"/>
    </row>
    <row r="77" spans="2:8" ht="25.5" customHeight="1">
      <c r="B77" s="348" t="s">
        <v>335</v>
      </c>
      <c r="C77" s="348"/>
      <c r="D77" s="348"/>
      <c r="E77" s="348"/>
    </row>
    <row r="78" spans="2:8" ht="27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208</v>
      </c>
      <c r="C81" s="344"/>
      <c r="D81" s="34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B3:K98"/>
  <sheetViews>
    <sheetView topLeftCell="A48" workbookViewId="0">
      <selection activeCell="C51" sqref="C51:C5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140625" style="9" customWidth="1"/>
    <col min="6" max="6" width="6.140625" style="62" customWidth="1"/>
    <col min="7" max="8" width="9.140625" style="62"/>
    <col min="9" max="9" width="16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15.7</v>
      </c>
      <c r="K5" s="148" t="s">
        <v>186</v>
      </c>
    </row>
    <row r="6" spans="2:11" ht="15.75">
      <c r="D6" s="176"/>
      <c r="I6" s="147" t="s">
        <v>162</v>
      </c>
      <c r="J6" s="147">
        <v>366.3</v>
      </c>
      <c r="K6" s="148"/>
    </row>
    <row r="7" spans="2:11" ht="15.75">
      <c r="D7" s="176" t="s">
        <v>297</v>
      </c>
      <c r="I7" s="147" t="s">
        <v>163</v>
      </c>
      <c r="J7" s="147">
        <v>8</v>
      </c>
      <c r="K7" s="148"/>
    </row>
    <row r="8" spans="2:11" ht="15.75">
      <c r="D8" s="66"/>
      <c r="I8" s="147" t="s">
        <v>164</v>
      </c>
      <c r="J8" s="283">
        <v>36</v>
      </c>
      <c r="K8" s="148"/>
    </row>
    <row r="9" spans="2:11" ht="15.75">
      <c r="D9" s="66"/>
      <c r="I9" s="149" t="s">
        <v>165</v>
      </c>
      <c r="J9" s="147">
        <v>1802</v>
      </c>
      <c r="K9" s="148"/>
    </row>
    <row r="10" spans="2:11" ht="30" customHeight="1">
      <c r="B10" s="346" t="s">
        <v>299</v>
      </c>
      <c r="C10" s="346"/>
      <c r="D10" s="346"/>
      <c r="E10" s="346"/>
      <c r="I10" s="147" t="s">
        <v>166</v>
      </c>
      <c r="J10" s="147">
        <v>277.2</v>
      </c>
      <c r="K10" s="148"/>
    </row>
    <row r="11" spans="2:11" ht="15" customHeight="1">
      <c r="B11" s="347" t="s">
        <v>127</v>
      </c>
      <c r="C11" s="347"/>
      <c r="D11" s="347"/>
      <c r="E11" s="347"/>
      <c r="I11" s="147" t="s">
        <v>167</v>
      </c>
      <c r="J11" s="147">
        <v>333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9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366.3</v>
      </c>
      <c r="D14" s="77" t="s">
        <v>61</v>
      </c>
      <c r="I14" s="147" t="s">
        <v>170</v>
      </c>
      <c r="J14" s="147">
        <v>1426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1526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/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34.5564558350071</v>
      </c>
      <c r="K17" s="148"/>
    </row>
    <row r="18" spans="2:11">
      <c r="B18" s="93" t="s">
        <v>7</v>
      </c>
      <c r="C18" s="198">
        <f>C14*15.7*12</f>
        <v>69010.92</v>
      </c>
      <c r="D18" s="155" t="s">
        <v>720</v>
      </c>
      <c r="E18" s="199" t="s">
        <v>99</v>
      </c>
      <c r="I18" s="147" t="s">
        <v>174</v>
      </c>
      <c r="J18" s="147">
        <v>4.38</v>
      </c>
      <c r="K18" s="148"/>
    </row>
    <row r="19" spans="2:11" ht="38.25">
      <c r="B19" s="94" t="s">
        <v>8</v>
      </c>
      <c r="C19" s="286">
        <f>36*(211.42*6*1.45/12+226.93*6*1.45/12)*1.18</f>
        <v>13500.3033</v>
      </c>
      <c r="D19" s="287" t="s">
        <v>721</v>
      </c>
      <c r="E19" s="200"/>
      <c r="I19" s="147" t="s">
        <v>175</v>
      </c>
      <c r="J19" s="150">
        <v>0.66</v>
      </c>
      <c r="K19" s="154">
        <f>(J15/3+J14)/2920</f>
        <v>0.66255707762557081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5.5555555555555552E-2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69010.92</v>
      </c>
      <c r="D24" s="83"/>
      <c r="E24" s="200"/>
      <c r="I24" s="148" t="s">
        <v>180</v>
      </c>
      <c r="J24" s="148"/>
      <c r="K24" s="154">
        <f>J30/1180</f>
        <v>0</v>
      </c>
    </row>
    <row r="25" spans="2:11">
      <c r="B25" s="104" t="s">
        <v>11</v>
      </c>
      <c r="C25" s="65">
        <f>C26+C27+C28+C29+C30+C31</f>
        <v>1485</v>
      </c>
      <c r="D25" s="83"/>
      <c r="E25" s="200"/>
      <c r="I25" s="74" t="s">
        <v>181</v>
      </c>
      <c r="J25" s="74">
        <v>366.3</v>
      </c>
      <c r="K25" s="148"/>
    </row>
    <row r="26" spans="2:11">
      <c r="B26" s="78" t="s">
        <v>12</v>
      </c>
      <c r="C26" s="65">
        <f>34.98*12*0</f>
        <v>0</v>
      </c>
      <c r="D26" s="83" t="s">
        <v>13</v>
      </c>
      <c r="E26" s="200"/>
    </row>
    <row r="27" spans="2:11">
      <c r="B27" s="78" t="s">
        <v>14</v>
      </c>
      <c r="C27" s="65">
        <f>137.5*12*0</f>
        <v>0</v>
      </c>
      <c r="D27" s="83" t="s">
        <v>15</v>
      </c>
      <c r="E27" s="200"/>
    </row>
    <row r="28" spans="2:11">
      <c r="B28" s="78" t="s">
        <v>16</v>
      </c>
      <c r="C28" s="65">
        <f>123.75*12*0</f>
        <v>0</v>
      </c>
      <c r="D28" s="83" t="s">
        <v>17</v>
      </c>
      <c r="E28" s="200"/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150*12*0</f>
        <v>0</v>
      </c>
      <c r="D30" s="83" t="s">
        <v>20</v>
      </c>
      <c r="E30" s="200"/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70495.92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(0.66*(3565+200)*1.5*1.15*1.083*1.302*3)+(0.66*(3708+200)*1.5*1.15*1.083*1.302*9)+(0.1*1426*12)</f>
        <v>76307.469671846993</v>
      </c>
      <c r="D36" s="291" t="s">
        <v>722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36*(360.84*0.025*3+362.52*0.025*3+382.25*0.025*6)</f>
        <v>4017.2220000000002</v>
      </c>
      <c r="D39" s="293" t="s">
        <v>723</v>
      </c>
      <c r="E39" s="199" t="s">
        <v>101</v>
      </c>
      <c r="H39" s="3"/>
    </row>
    <row r="40" spans="2:8" ht="15.75">
      <c r="B40" s="113" t="s">
        <v>31</v>
      </c>
      <c r="C40" s="294">
        <f>(16.86+17.53)*8</f>
        <v>275.12</v>
      </c>
      <c r="D40" s="295" t="s">
        <v>724</v>
      </c>
      <c r="E40" s="200" t="s">
        <v>102</v>
      </c>
      <c r="H40" s="3"/>
    </row>
    <row r="41" spans="2:8" ht="27.75" customHeight="1">
      <c r="B41" s="113" t="s">
        <v>32</v>
      </c>
      <c r="C41" s="294">
        <f>(49.72+51.71)*2*8</f>
        <v>1622.88</v>
      </c>
      <c r="D41" s="295" t="s">
        <v>725</v>
      </c>
      <c r="E41" s="200" t="s">
        <v>103</v>
      </c>
      <c r="H41" s="3"/>
    </row>
    <row r="42" spans="2:8" ht="15.75">
      <c r="B42" s="113" t="s">
        <v>33</v>
      </c>
      <c r="C42" s="185">
        <f>0.26*366.3*12</f>
        <v>1142.856</v>
      </c>
      <c r="D42" s="155" t="s">
        <v>285</v>
      </c>
      <c r="E42" s="200" t="s">
        <v>99</v>
      </c>
      <c r="H42" s="3"/>
    </row>
    <row r="43" spans="2:8" ht="15.75">
      <c r="B43" s="115" t="s">
        <v>34</v>
      </c>
      <c r="C43" s="185">
        <f>1.02*366.3*4</f>
        <v>1494.5040000000001</v>
      </c>
      <c r="D43" s="155" t="s">
        <v>286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 t="s">
        <v>99</v>
      </c>
      <c r="H45" s="3"/>
    </row>
    <row r="46" spans="2:8" ht="15.75" hidden="1">
      <c r="B46" s="94" t="s">
        <v>202</v>
      </c>
      <c r="C46" s="70">
        <f>155.02*0</f>
        <v>0</v>
      </c>
      <c r="D46" s="69" t="s">
        <v>203</v>
      </c>
      <c r="E46" s="200" t="s">
        <v>187</v>
      </c>
      <c r="H46" s="3"/>
    </row>
    <row r="47" spans="2:8" ht="50.25" customHeight="1">
      <c r="B47" s="94" t="s">
        <v>40</v>
      </c>
      <c r="C47" s="299">
        <f>36*(211.42*6*1.45/12+226.93*6*1.45/12)</f>
        <v>11440.934999999999</v>
      </c>
      <c r="D47" s="297" t="s">
        <v>726</v>
      </c>
      <c r="E47" s="200" t="s">
        <v>101</v>
      </c>
      <c r="H47" s="3"/>
    </row>
    <row r="48" spans="2:8" ht="25.5">
      <c r="B48" s="94" t="s">
        <v>41</v>
      </c>
      <c r="C48" s="296">
        <f>0*(232.8*6+243.11*6)</f>
        <v>0</v>
      </c>
      <c r="D48" s="300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96300.986671846986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(4.38*96.4189*3)+(4.38*100.2864*9)+(1.78*(C14+C15)*12)</f>
        <v>13044.402234000001</v>
      </c>
      <c r="D51" s="301" t="s">
        <v>727</v>
      </c>
      <c r="E51" s="204"/>
    </row>
    <row r="52" spans="2:5">
      <c r="B52" s="115" t="s">
        <v>45</v>
      </c>
      <c r="C52" s="65">
        <f>13.69*333</f>
        <v>4558.7699999999995</v>
      </c>
      <c r="D52" s="83" t="s">
        <v>728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729</v>
      </c>
      <c r="E53" s="200"/>
    </row>
    <row r="54" spans="2:5" ht="51">
      <c r="B54" s="113" t="s">
        <v>46</v>
      </c>
      <c r="C54" s="294">
        <f>(632.04+251.07/3)*1802/1000</f>
        <v>1289.7454599999999</v>
      </c>
      <c r="D54" s="301" t="s">
        <v>730</v>
      </c>
      <c r="E54" s="94" t="s">
        <v>105</v>
      </c>
    </row>
    <row r="55" spans="2:5" ht="51">
      <c r="B55" s="121" t="s">
        <v>47</v>
      </c>
      <c r="C55" s="302">
        <f>((34.56/12*3*96.4189)+(34.56/12*9*100.2864))+((34.56/12*3*96.4189)+(34.56/12*9*100.2864))/1.302*25%</f>
        <v>4091.5616595760371</v>
      </c>
      <c r="D55" s="301" t="s">
        <v>731</v>
      </c>
      <c r="E55" s="200"/>
    </row>
    <row r="56" spans="2:5" ht="15.75">
      <c r="B56" s="122" t="s">
        <v>48</v>
      </c>
      <c r="C56" s="117">
        <f>C51+C52+C53+C54+C55</f>
        <v>22984.479353576036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3.05*(C14+0)</f>
        <v>1117.2149999999999</v>
      </c>
      <c r="D64" s="126" t="s">
        <v>732</v>
      </c>
      <c r="E64" s="200"/>
    </row>
    <row r="65" spans="2:8" ht="15.75">
      <c r="B65" s="130" t="s">
        <v>57</v>
      </c>
      <c r="C65" s="131">
        <f>1.49*(C14+0)</f>
        <v>545.78700000000003</v>
      </c>
      <c r="D65" s="131" t="s">
        <v>858</v>
      </c>
      <c r="E65" s="200"/>
      <c r="H65" s="4"/>
    </row>
    <row r="66" spans="2:8">
      <c r="B66" s="78" t="s">
        <v>58</v>
      </c>
      <c r="C66" s="95">
        <f>(C49+C56)*0.341</f>
        <v>40676.343914669254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21114.958912092181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63454.304826761436</v>
      </c>
      <c r="D68" s="128"/>
      <c r="E68" s="200"/>
    </row>
    <row r="69" spans="2:8">
      <c r="B69" s="78" t="s">
        <v>59</v>
      </c>
      <c r="C69" s="95">
        <f>(C49+C56+C63+C68)*3%</f>
        <v>5482.1931255655336</v>
      </c>
      <c r="D69" s="126"/>
      <c r="E69" s="200"/>
    </row>
    <row r="70" spans="2:8" ht="15.75">
      <c r="B70" s="133" t="s">
        <v>23</v>
      </c>
      <c r="C70" s="134">
        <f>C49+C56+C63+C68+C69</f>
        <v>188221.96397774998</v>
      </c>
      <c r="D70" s="135"/>
      <c r="E70" s="200"/>
    </row>
    <row r="71" spans="2:8" ht="15.75">
      <c r="B71" s="133" t="s">
        <v>60</v>
      </c>
      <c r="C71" s="134">
        <f>C70*1.18</f>
        <v>222101.91749374496</v>
      </c>
      <c r="D71" s="135"/>
      <c r="E71" s="108"/>
    </row>
    <row r="72" spans="2:8" ht="15.75">
      <c r="B72" s="136"/>
      <c r="C72" s="137">
        <f>C33-C71</f>
        <v>-151605.99749374494</v>
      </c>
      <c r="D72" s="138"/>
      <c r="E72" s="200"/>
    </row>
    <row r="73" spans="2:8" ht="30">
      <c r="B73" s="159" t="s">
        <v>106</v>
      </c>
      <c r="C73" s="188">
        <f>C71/(C14+C15)/12</f>
        <v>50.528236758063734</v>
      </c>
      <c r="D73" s="189" t="s">
        <v>149</v>
      </c>
      <c r="E73" s="108"/>
    </row>
    <row r="74" spans="2:8">
      <c r="B74" s="161"/>
      <c r="C74" s="190"/>
      <c r="D74" s="191"/>
      <c r="E74" s="205"/>
    </row>
    <row r="75" spans="2:8" ht="21.75" customHeight="1">
      <c r="B75" s="345" t="s">
        <v>97</v>
      </c>
      <c r="C75" s="345"/>
      <c r="D75" s="345"/>
      <c r="E75" s="303"/>
    </row>
    <row r="76" spans="2:8" ht="30.75" customHeight="1">
      <c r="B76" s="348" t="s">
        <v>334</v>
      </c>
      <c r="C76" s="348"/>
      <c r="D76" s="348"/>
      <c r="E76" s="348"/>
    </row>
    <row r="77" spans="2:8" ht="33.75" customHeight="1">
      <c r="B77" s="348" t="s">
        <v>335</v>
      </c>
      <c r="C77" s="348"/>
      <c r="D77" s="348"/>
      <c r="E77" s="348"/>
    </row>
    <row r="78" spans="2:8" ht="26.25" customHeight="1">
      <c r="B78" s="163"/>
      <c r="C78" s="192"/>
      <c r="D78" s="193"/>
      <c r="E78" s="174"/>
    </row>
    <row r="79" spans="2:8">
      <c r="B79" s="164"/>
      <c r="C79" s="194"/>
      <c r="D79" s="195"/>
      <c r="E79" s="174"/>
    </row>
    <row r="80" spans="2:8">
      <c r="B80" s="344" t="s">
        <v>213</v>
      </c>
      <c r="C80" s="344"/>
      <c r="D80" s="344"/>
      <c r="E80" s="174"/>
    </row>
    <row r="81" spans="2:4" hidden="1">
      <c r="B81" s="344" t="s">
        <v>183</v>
      </c>
      <c r="C81" s="344"/>
      <c r="D81" s="34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7">
    <mergeCell ref="B81:D81"/>
    <mergeCell ref="B75:D75"/>
    <mergeCell ref="B10:E10"/>
    <mergeCell ref="B11:E12"/>
    <mergeCell ref="B80:D80"/>
    <mergeCell ref="B76:E76"/>
    <mergeCell ref="B77:E7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3:K107"/>
  <sheetViews>
    <sheetView workbookViewId="0">
      <selection activeCell="T11" sqref="T11"/>
    </sheetView>
  </sheetViews>
  <sheetFormatPr defaultRowHeight="15"/>
  <cols>
    <col min="1" max="1" width="2.42578125" style="9" customWidth="1"/>
    <col min="2" max="2" width="36.28515625" style="47" customWidth="1"/>
    <col min="3" max="3" width="14" style="47" customWidth="1"/>
    <col min="4" max="4" width="37.7109375" style="47" customWidth="1"/>
    <col min="5" max="5" width="12.140625" style="145" customWidth="1"/>
    <col min="6" max="6" width="6" style="5" customWidth="1"/>
    <col min="7" max="7" width="0" style="5" hidden="1" customWidth="1"/>
    <col min="8" max="8" width="6.7109375" style="5" hidden="1" customWidth="1"/>
    <col min="9" max="9" width="16.5703125" style="5" hidden="1" customWidth="1"/>
    <col min="10" max="13" width="0" style="5" hidden="1" customWidth="1"/>
    <col min="14" max="16384" width="9.140625" style="5"/>
  </cols>
  <sheetData>
    <row r="3" spans="1:11" ht="15.75">
      <c r="D3" s="176" t="s">
        <v>0</v>
      </c>
      <c r="E3" s="174"/>
    </row>
    <row r="4" spans="1:11" ht="15.75">
      <c r="D4" s="176" t="s">
        <v>298</v>
      </c>
      <c r="E4" s="174"/>
    </row>
    <row r="5" spans="1:11" ht="15.75">
      <c r="D5" s="176" t="s">
        <v>206</v>
      </c>
      <c r="E5" s="174"/>
      <c r="I5" s="146" t="s">
        <v>160</v>
      </c>
      <c r="J5" s="283">
        <v>14.83</v>
      </c>
      <c r="K5" s="148" t="s">
        <v>161</v>
      </c>
    </row>
    <row r="6" spans="1:11" ht="15.75">
      <c r="D6" s="176"/>
      <c r="E6" s="174"/>
      <c r="I6" s="147" t="s">
        <v>162</v>
      </c>
      <c r="J6" s="147">
        <v>3530.4</v>
      </c>
      <c r="K6" s="148"/>
    </row>
    <row r="7" spans="1:11" ht="15.75">
      <c r="D7" s="176" t="s">
        <v>297</v>
      </c>
      <c r="E7" s="174"/>
      <c r="I7" s="147" t="s">
        <v>163</v>
      </c>
      <c r="J7" s="147">
        <v>80</v>
      </c>
      <c r="K7" s="148"/>
    </row>
    <row r="8" spans="1:11" ht="14.25" customHeight="1">
      <c r="D8" s="66"/>
      <c r="I8" s="147" t="s">
        <v>164</v>
      </c>
      <c r="J8" s="283">
        <v>204</v>
      </c>
      <c r="K8" s="148"/>
    </row>
    <row r="9" spans="1:11" ht="14.25" customHeight="1">
      <c r="D9" s="66"/>
      <c r="I9" s="149" t="s">
        <v>165</v>
      </c>
      <c r="J9" s="147">
        <v>15381</v>
      </c>
      <c r="K9" s="148"/>
    </row>
    <row r="10" spans="1:11" ht="30.75" customHeight="1">
      <c r="B10" s="346" t="s">
        <v>299</v>
      </c>
      <c r="C10" s="346"/>
      <c r="D10" s="346"/>
      <c r="E10" s="346"/>
      <c r="I10" s="147" t="s">
        <v>166</v>
      </c>
      <c r="J10" s="147">
        <v>0</v>
      </c>
      <c r="K10" s="148"/>
    </row>
    <row r="11" spans="1:11" ht="15" customHeight="1">
      <c r="B11" s="346" t="s">
        <v>209</v>
      </c>
      <c r="C11" s="346"/>
      <c r="D11" s="346"/>
      <c r="E11" s="346"/>
      <c r="I11" s="147" t="s">
        <v>167</v>
      </c>
      <c r="J11" s="147">
        <v>1100</v>
      </c>
      <c r="K11" s="148"/>
    </row>
    <row r="12" spans="1:11" ht="15" customHeight="1">
      <c r="B12" s="346"/>
      <c r="C12" s="346"/>
      <c r="D12" s="346"/>
      <c r="E12" s="346"/>
      <c r="I12" s="147" t="s">
        <v>168</v>
      </c>
      <c r="J12" s="147">
        <v>0</v>
      </c>
      <c r="K12" s="148"/>
    </row>
    <row r="13" spans="1:11" ht="15.75" customHeight="1">
      <c r="B13" s="156"/>
      <c r="C13" s="321"/>
      <c r="D13" s="321"/>
      <c r="I13" s="147" t="s">
        <v>169</v>
      </c>
      <c r="J13" s="147">
        <v>0</v>
      </c>
      <c r="K13" s="148"/>
    </row>
    <row r="14" spans="1:11" ht="15.75">
      <c r="B14" s="84" t="s">
        <v>2</v>
      </c>
      <c r="C14" s="85">
        <v>3530.4</v>
      </c>
      <c r="D14" s="77" t="s">
        <v>61</v>
      </c>
      <c r="I14" s="147" t="s">
        <v>170</v>
      </c>
      <c r="J14" s="147">
        <v>1236</v>
      </c>
      <c r="K14" s="148"/>
    </row>
    <row r="15" spans="1:11" s="6" customFormat="1" ht="31.5">
      <c r="A15" s="89"/>
      <c r="B15" s="86" t="s">
        <v>3</v>
      </c>
      <c r="C15" s="87">
        <f>191.1+106+126.1+58.4+55.6</f>
        <v>537.20000000000005</v>
      </c>
      <c r="D15" s="88"/>
      <c r="E15" s="145"/>
      <c r="I15" s="147" t="s">
        <v>171</v>
      </c>
      <c r="J15" s="6">
        <v>1853</v>
      </c>
      <c r="K15" s="148"/>
    </row>
    <row r="16" spans="1:11" s="6" customFormat="1" ht="15.75" customHeight="1">
      <c r="A16" s="89"/>
      <c r="B16" s="86"/>
      <c r="C16" s="87"/>
      <c r="D16" s="88"/>
      <c r="E16" s="145"/>
      <c r="I16" s="147" t="s">
        <v>172</v>
      </c>
      <c r="J16" s="147">
        <v>0</v>
      </c>
      <c r="K16" s="148"/>
    </row>
    <row r="17" spans="2:11" ht="31.5">
      <c r="B17" s="165" t="s">
        <v>4</v>
      </c>
      <c r="C17" s="177" t="s">
        <v>5</v>
      </c>
      <c r="D17" s="177" t="s">
        <v>6</v>
      </c>
      <c r="E17" s="166" t="s">
        <v>98</v>
      </c>
      <c r="I17" s="147" t="s">
        <v>173</v>
      </c>
      <c r="J17" s="284">
        <v>506.11925958090598</v>
      </c>
      <c r="K17" s="148"/>
    </row>
    <row r="18" spans="2:11">
      <c r="B18" s="167" t="s">
        <v>7</v>
      </c>
      <c r="C18" s="178">
        <f>C14*14.83*12</f>
        <v>628269.98400000005</v>
      </c>
      <c r="D18" s="179" t="s">
        <v>733</v>
      </c>
      <c r="E18" s="94" t="s">
        <v>99</v>
      </c>
      <c r="I18" s="147" t="s">
        <v>174</v>
      </c>
      <c r="J18" s="147">
        <v>7.19</v>
      </c>
      <c r="K18" s="148"/>
    </row>
    <row r="19" spans="2:11" ht="51.75" customHeight="1">
      <c r="B19" s="168" t="s">
        <v>8</v>
      </c>
      <c r="C19" s="325">
        <f>204*(211.42*6*1/12+226.93*6*1/12)*1.18</f>
        <v>52759.805999999997</v>
      </c>
      <c r="D19" s="326" t="s">
        <v>738</v>
      </c>
      <c r="E19" s="158"/>
      <c r="I19" s="147" t="s">
        <v>175</v>
      </c>
      <c r="J19" s="150">
        <v>0.63</v>
      </c>
      <c r="K19" s="154">
        <f>(J15/3+J14)/2920</f>
        <v>0.63481735159817343</v>
      </c>
    </row>
    <row r="20" spans="2:11">
      <c r="B20" s="96" t="s">
        <v>9</v>
      </c>
      <c r="C20" s="180">
        <f>C21+C24+C27+C30+C33</f>
        <v>115277.65795200001</v>
      </c>
      <c r="D20" s="99"/>
      <c r="E20" s="169"/>
      <c r="I20" s="151" t="s">
        <v>176</v>
      </c>
      <c r="J20" s="151"/>
      <c r="K20" s="154"/>
    </row>
    <row r="21" spans="2:11">
      <c r="B21" s="78" t="s">
        <v>184</v>
      </c>
      <c r="C21" s="98">
        <f>C22+C23</f>
        <v>36872.182380000006</v>
      </c>
      <c r="D21" s="99"/>
      <c r="E21" s="158"/>
      <c r="I21" s="152" t="s">
        <v>177</v>
      </c>
      <c r="J21" s="153"/>
      <c r="K21" s="154"/>
    </row>
    <row r="22" spans="2:11">
      <c r="B22" s="100" t="s">
        <v>63</v>
      </c>
      <c r="C22" s="178">
        <f>191.1*14.83*12</f>
        <v>34008.156000000003</v>
      </c>
      <c r="D22" s="181" t="s">
        <v>734</v>
      </c>
      <c r="E22" s="158" t="s">
        <v>99</v>
      </c>
      <c r="I22" s="74" t="s">
        <v>178</v>
      </c>
      <c r="J22" s="74">
        <v>1</v>
      </c>
      <c r="K22" s="154"/>
    </row>
    <row r="23" spans="2:11" ht="25.5">
      <c r="B23" s="100" t="s">
        <v>64</v>
      </c>
      <c r="C23" s="327">
        <f>0.85*(232.8*1.18*6+243.11*1.18*6)</f>
        <v>2864.0263800000002</v>
      </c>
      <c r="D23" s="328" t="s">
        <v>740</v>
      </c>
      <c r="E23" s="158" t="s">
        <v>99</v>
      </c>
      <c r="I23" s="74" t="s">
        <v>179</v>
      </c>
      <c r="J23" s="74"/>
      <c r="K23" s="154"/>
    </row>
    <row r="24" spans="2:11">
      <c r="B24" s="78" t="s">
        <v>89</v>
      </c>
      <c r="C24" s="98">
        <f>C25+C26</f>
        <v>27759.088992000005</v>
      </c>
      <c r="D24" s="99"/>
      <c r="E24" s="158"/>
      <c r="I24" s="148" t="s">
        <v>180</v>
      </c>
      <c r="J24" s="148"/>
      <c r="K24" s="154"/>
    </row>
    <row r="25" spans="2:11">
      <c r="B25" s="100" t="s">
        <v>63</v>
      </c>
      <c r="C25" s="178">
        <f>106*14.83*12</f>
        <v>18863.760000000002</v>
      </c>
      <c r="D25" s="181" t="s">
        <v>735</v>
      </c>
      <c r="E25" s="158" t="s">
        <v>99</v>
      </c>
      <c r="I25" s="74" t="s">
        <v>181</v>
      </c>
      <c r="J25" s="5">
        <v>296</v>
      </c>
      <c r="K25" s="173"/>
    </row>
    <row r="26" spans="2:11" ht="25.5">
      <c r="B26" s="100" t="s">
        <v>64</v>
      </c>
      <c r="C26" s="327">
        <f>2.64*(232.8*1.18*6+243.11*1.18*6)</f>
        <v>8895.3289920000007</v>
      </c>
      <c r="D26" s="328" t="s">
        <v>743</v>
      </c>
      <c r="E26" s="158" t="s">
        <v>99</v>
      </c>
    </row>
    <row r="27" spans="2:11">
      <c r="B27" s="78" t="s">
        <v>90</v>
      </c>
      <c r="C27" s="98">
        <f>C28+C29</f>
        <v>30358.94658</v>
      </c>
      <c r="D27" s="99"/>
      <c r="E27" s="158"/>
    </row>
    <row r="28" spans="2:11">
      <c r="B28" s="100" t="s">
        <v>63</v>
      </c>
      <c r="C28" s="178">
        <f>126.1*14.83*12</f>
        <v>22440.755999999998</v>
      </c>
      <c r="D28" s="181" t="s">
        <v>736</v>
      </c>
      <c r="E28" s="158" t="s">
        <v>99</v>
      </c>
    </row>
    <row r="29" spans="2:11" ht="25.5">
      <c r="B29" s="100" t="s">
        <v>64</v>
      </c>
      <c r="C29" s="327">
        <f>2.35*(232.8*1.18*6+243.11*1.18*6)</f>
        <v>7918.1905800000013</v>
      </c>
      <c r="D29" s="328" t="s">
        <v>739</v>
      </c>
      <c r="E29" s="158" t="s">
        <v>99</v>
      </c>
    </row>
    <row r="30" spans="2:11" ht="25.5">
      <c r="B30" s="78" t="s">
        <v>91</v>
      </c>
      <c r="C30" s="98">
        <f>C31+C32</f>
        <v>10392.864</v>
      </c>
      <c r="D30" s="99"/>
      <c r="E30" s="158"/>
    </row>
    <row r="31" spans="2:11">
      <c r="B31" s="100" t="s">
        <v>63</v>
      </c>
      <c r="C31" s="178">
        <f>58.4*14.83*12</f>
        <v>10392.864</v>
      </c>
      <c r="D31" s="181" t="s">
        <v>737</v>
      </c>
      <c r="E31" s="158" t="s">
        <v>99</v>
      </c>
    </row>
    <row r="32" spans="2:11" ht="25.5">
      <c r="B32" s="100" t="s">
        <v>64</v>
      </c>
      <c r="C32" s="327">
        <f>0*(232.8*1.18*6+243.11*1.18*6)</f>
        <v>0</v>
      </c>
      <c r="D32" s="328" t="s">
        <v>308</v>
      </c>
      <c r="E32" s="158" t="s">
        <v>99</v>
      </c>
    </row>
    <row r="33" spans="1:8" s="74" customFormat="1">
      <c r="A33" s="9"/>
      <c r="B33" s="170" t="s">
        <v>741</v>
      </c>
      <c r="C33" s="102">
        <f>C34+C35</f>
        <v>9894.5760000000009</v>
      </c>
      <c r="D33" s="182"/>
      <c r="E33" s="158"/>
    </row>
    <row r="34" spans="1:8" s="74" customFormat="1">
      <c r="A34" s="9"/>
      <c r="B34" s="100" t="s">
        <v>63</v>
      </c>
      <c r="C34" s="178">
        <f>55.6*14.83*12</f>
        <v>9894.5760000000009</v>
      </c>
      <c r="D34" s="181" t="s">
        <v>742</v>
      </c>
      <c r="E34" s="158" t="s">
        <v>99</v>
      </c>
    </row>
    <row r="35" spans="1:8" s="74" customFormat="1" ht="25.5">
      <c r="A35" s="9"/>
      <c r="B35" s="100" t="s">
        <v>64</v>
      </c>
      <c r="C35" s="327">
        <f>0*(232.8*1.18*6+243.11*1.18*6)</f>
        <v>0</v>
      </c>
      <c r="D35" s="328" t="s">
        <v>308</v>
      </c>
      <c r="E35" s="158"/>
    </row>
    <row r="36" spans="1:8" ht="15.75">
      <c r="B36" s="103" t="s">
        <v>10</v>
      </c>
      <c r="C36" s="65">
        <f>C18+C20</f>
        <v>743547.64195200009</v>
      </c>
      <c r="D36" s="107"/>
      <c r="E36" s="108"/>
    </row>
    <row r="37" spans="1:8" ht="25.5">
      <c r="B37" s="104" t="s">
        <v>11</v>
      </c>
      <c r="C37" s="65">
        <f>C38+C39+C40+C41+C42+C43</f>
        <v>4695</v>
      </c>
      <c r="D37" s="107"/>
      <c r="E37" s="158"/>
    </row>
    <row r="38" spans="1:8">
      <c r="B38" s="78" t="s">
        <v>12</v>
      </c>
      <c r="C38" s="65">
        <f>34.98*10*0</f>
        <v>0</v>
      </c>
      <c r="D38" s="107" t="s">
        <v>13</v>
      </c>
      <c r="E38" s="158"/>
    </row>
    <row r="39" spans="1:8">
      <c r="B39" s="78" t="s">
        <v>14</v>
      </c>
      <c r="C39" s="65">
        <f>137.5*12</f>
        <v>1650</v>
      </c>
      <c r="D39" s="83" t="s">
        <v>15</v>
      </c>
      <c r="E39" s="158" t="s">
        <v>99</v>
      </c>
    </row>
    <row r="40" spans="1:8">
      <c r="B40" s="78" t="s">
        <v>16</v>
      </c>
      <c r="C40" s="65">
        <f>103.75*10*0</f>
        <v>0</v>
      </c>
      <c r="D40" s="83" t="s">
        <v>17</v>
      </c>
      <c r="E40" s="158"/>
    </row>
    <row r="41" spans="1:8">
      <c r="B41" s="78" t="s">
        <v>18</v>
      </c>
      <c r="C41" s="65">
        <f>103.75*12</f>
        <v>1245</v>
      </c>
      <c r="D41" s="83" t="s">
        <v>17</v>
      </c>
      <c r="E41" s="158" t="s">
        <v>99</v>
      </c>
    </row>
    <row r="42" spans="1:8">
      <c r="B42" s="78" t="s">
        <v>19</v>
      </c>
      <c r="C42" s="65">
        <f>150*12</f>
        <v>1800</v>
      </c>
      <c r="D42" s="83" t="s">
        <v>20</v>
      </c>
      <c r="E42" s="158" t="s">
        <v>99</v>
      </c>
    </row>
    <row r="43" spans="1:8">
      <c r="B43" s="78" t="s">
        <v>69</v>
      </c>
      <c r="C43" s="65">
        <f>137.5*10*0</f>
        <v>0</v>
      </c>
      <c r="D43" s="83" t="s">
        <v>15</v>
      </c>
      <c r="E43" s="158"/>
    </row>
    <row r="44" spans="1:8">
      <c r="B44" s="104" t="s">
        <v>21</v>
      </c>
      <c r="C44" s="65">
        <v>0</v>
      </c>
      <c r="D44" s="83"/>
      <c r="E44" s="158"/>
    </row>
    <row r="45" spans="1:8" ht="18.75">
      <c r="B45" s="105" t="s">
        <v>23</v>
      </c>
      <c r="C45" s="106">
        <f>C36+C37+C44</f>
        <v>748242.64195200009</v>
      </c>
      <c r="D45" s="107"/>
      <c r="E45" s="158"/>
    </row>
    <row r="46" spans="1:8" ht="31.5">
      <c r="B46" s="91" t="s">
        <v>24</v>
      </c>
      <c r="C46" s="109" t="s">
        <v>5</v>
      </c>
      <c r="D46" s="110" t="s">
        <v>25</v>
      </c>
      <c r="E46" s="158"/>
    </row>
    <row r="47" spans="1:8" ht="15.75">
      <c r="B47" s="111" t="s">
        <v>26</v>
      </c>
      <c r="C47" s="95"/>
      <c r="D47" s="112"/>
      <c r="E47" s="158"/>
      <c r="H47" s="2"/>
    </row>
    <row r="48" spans="1:8" ht="51">
      <c r="B48" s="113" t="s">
        <v>27</v>
      </c>
      <c r="C48" s="329">
        <f>(0.63*(3565+200)*1.5*1.15*1.083*1.302*3)+(0.63*(3708+200)*1.5*1.15*1.083*1.302*9)+(0.1*1236*12)</f>
        <v>72688.730141308493</v>
      </c>
      <c r="D48" s="330" t="s">
        <v>744</v>
      </c>
      <c r="E48" s="158" t="s">
        <v>100</v>
      </c>
      <c r="H48" s="3"/>
    </row>
    <row r="49" spans="1:8" ht="15.75">
      <c r="B49" s="113" t="s">
        <v>28</v>
      </c>
      <c r="C49" s="183"/>
      <c r="D49" s="184"/>
      <c r="E49" s="158"/>
      <c r="H49" s="3"/>
    </row>
    <row r="50" spans="1:8" ht="15.75">
      <c r="B50" s="113" t="s">
        <v>29</v>
      </c>
      <c r="C50" s="183"/>
      <c r="D50" s="184"/>
      <c r="E50" s="158"/>
      <c r="H50" s="3"/>
    </row>
    <row r="51" spans="1:8" s="7" customFormat="1" ht="38.25">
      <c r="A51" s="114"/>
      <c r="B51" s="113" t="s">
        <v>30</v>
      </c>
      <c r="C51" s="331">
        <f>204*(360.84*0.025*3+362.52*0.025*3+382.25*0.025*6)</f>
        <v>22764.258000000002</v>
      </c>
      <c r="D51" s="332" t="s">
        <v>745</v>
      </c>
      <c r="E51" s="94" t="s">
        <v>101</v>
      </c>
      <c r="H51" s="3"/>
    </row>
    <row r="52" spans="1:8" ht="15.75">
      <c r="B52" s="113" t="s">
        <v>31</v>
      </c>
      <c r="C52" s="333">
        <f>(16.86+17.53)*80</f>
        <v>2751.2</v>
      </c>
      <c r="D52" s="334" t="s">
        <v>473</v>
      </c>
      <c r="E52" s="158" t="s">
        <v>102</v>
      </c>
      <c r="H52" s="3"/>
    </row>
    <row r="53" spans="1:8" ht="38.25" customHeight="1">
      <c r="B53" s="113" t="s">
        <v>32</v>
      </c>
      <c r="C53" s="333">
        <f>(49.72+51.71)*2*0</f>
        <v>0</v>
      </c>
      <c r="D53" s="334" t="s">
        <v>746</v>
      </c>
      <c r="E53" s="158"/>
      <c r="H53" s="3"/>
    </row>
    <row r="54" spans="1:8" ht="15.75">
      <c r="B54" s="113" t="s">
        <v>33</v>
      </c>
      <c r="C54" s="185">
        <f>0.26*296*12</f>
        <v>923.5200000000001</v>
      </c>
      <c r="D54" s="155" t="s">
        <v>747</v>
      </c>
      <c r="E54" s="158" t="s">
        <v>99</v>
      </c>
      <c r="H54" s="3"/>
    </row>
    <row r="55" spans="1:8" ht="23.25" customHeight="1">
      <c r="B55" s="115" t="s">
        <v>34</v>
      </c>
      <c r="C55" s="185">
        <f>1.02*296*4</f>
        <v>1207.68</v>
      </c>
      <c r="D55" s="155" t="s">
        <v>207</v>
      </c>
      <c r="E55" s="158" t="s">
        <v>103</v>
      </c>
      <c r="H55" s="3"/>
    </row>
    <row r="56" spans="1:8" ht="25.5">
      <c r="B56" s="94" t="s">
        <v>35</v>
      </c>
      <c r="C56" s="335">
        <f>(700.55*6+728.57*6)*0</f>
        <v>0</v>
      </c>
      <c r="D56" s="336" t="s">
        <v>320</v>
      </c>
      <c r="E56" s="200" t="s">
        <v>99</v>
      </c>
      <c r="H56" s="3"/>
    </row>
    <row r="57" spans="1:8" ht="25.5">
      <c r="B57" s="94" t="s">
        <v>70</v>
      </c>
      <c r="C57" s="337">
        <f>(695.13*6+722.94*6)*0</f>
        <v>0</v>
      </c>
      <c r="D57" s="336" t="s">
        <v>321</v>
      </c>
      <c r="E57" s="200" t="s">
        <v>99</v>
      </c>
      <c r="H57" s="3"/>
    </row>
    <row r="58" spans="1:8" ht="50.25" customHeight="1">
      <c r="B58" s="94" t="s">
        <v>40</v>
      </c>
      <c r="C58" s="338">
        <f>204*(211.42*6*1/12+226.93*6*1/12)</f>
        <v>44711.7</v>
      </c>
      <c r="D58" s="336" t="s">
        <v>748</v>
      </c>
      <c r="E58" s="158" t="s">
        <v>101</v>
      </c>
      <c r="H58" s="3"/>
    </row>
    <row r="59" spans="1:8" ht="25.5">
      <c r="B59" s="94" t="s">
        <v>41</v>
      </c>
      <c r="C59" s="335">
        <f>5.84*(232.8*6+243.11*6)</f>
        <v>16675.886399999999</v>
      </c>
      <c r="D59" s="339" t="s">
        <v>749</v>
      </c>
      <c r="E59" s="158" t="s">
        <v>101</v>
      </c>
      <c r="H59" s="3"/>
    </row>
    <row r="60" spans="1:8" ht="15.75">
      <c r="B60" s="116" t="s">
        <v>42</v>
      </c>
      <c r="C60" s="117">
        <f>SUM(C48:C59)</f>
        <v>161722.97454130847</v>
      </c>
      <c r="D60" s="118"/>
      <c r="E60" s="158"/>
    </row>
    <row r="61" spans="1:8">
      <c r="B61" s="113" t="s">
        <v>43</v>
      </c>
      <c r="C61" s="65"/>
      <c r="D61" s="83"/>
      <c r="E61" s="171"/>
    </row>
    <row r="62" spans="1:8" s="8" customFormat="1" ht="51">
      <c r="A62" s="120"/>
      <c r="B62" s="119" t="s">
        <v>44</v>
      </c>
      <c r="C62" s="333">
        <f>(7.19*96.4189*3)+(7.19*100.2864*9)+(1.78*(C14+C15)*12)</f>
        <v>95453.224617</v>
      </c>
      <c r="D62" s="340" t="s">
        <v>750</v>
      </c>
      <c r="E62" s="171"/>
    </row>
    <row r="63" spans="1:8" ht="25.5">
      <c r="B63" s="115" t="s">
        <v>45</v>
      </c>
      <c r="C63" s="65">
        <f>13.69*1100</f>
        <v>15059</v>
      </c>
      <c r="D63" s="83" t="s">
        <v>751</v>
      </c>
      <c r="E63" s="158" t="s">
        <v>104</v>
      </c>
    </row>
    <row r="64" spans="1:8" ht="114.75">
      <c r="B64" s="172" t="s">
        <v>94</v>
      </c>
      <c r="C64" s="70">
        <f>17.51*(C14+C15)</f>
        <v>71223.676000000007</v>
      </c>
      <c r="D64" s="83" t="s">
        <v>752</v>
      </c>
      <c r="E64" s="158"/>
    </row>
    <row r="65" spans="1:8" ht="63.75">
      <c r="B65" s="113" t="s">
        <v>46</v>
      </c>
      <c r="C65" s="333">
        <f>(632.04+251.07/3)*15381/1000</f>
        <v>11008.64313</v>
      </c>
      <c r="D65" s="340" t="s">
        <v>753</v>
      </c>
      <c r="E65" s="94" t="s">
        <v>105</v>
      </c>
    </row>
    <row r="66" spans="1:8" ht="51">
      <c r="B66" s="121" t="s">
        <v>47</v>
      </c>
      <c r="C66" s="341">
        <f>((506.12/12*3*96.4189)+(506.12/12*9*100.2864))+((506.12/12*3*96.4189)+(506.12/12*9*100.2864))/1.302*25%</f>
        <v>59919.59453543472</v>
      </c>
      <c r="D66" s="340" t="s">
        <v>754</v>
      </c>
      <c r="E66" s="158"/>
    </row>
    <row r="67" spans="1:8" ht="15.75">
      <c r="B67" s="122" t="s">
        <v>48</v>
      </c>
      <c r="C67" s="117">
        <f>C62+C63+C64+C65+C66</f>
        <v>252664.13828243472</v>
      </c>
      <c r="D67" s="118"/>
      <c r="E67" s="158"/>
    </row>
    <row r="68" spans="1:8">
      <c r="B68" s="121" t="s">
        <v>49</v>
      </c>
      <c r="C68" s="65"/>
      <c r="D68" s="83"/>
      <c r="E68" s="158"/>
    </row>
    <row r="69" spans="1:8" s="7" customFormat="1" ht="12.75">
      <c r="A69" s="114"/>
      <c r="B69" s="123" t="s">
        <v>50</v>
      </c>
      <c r="C69" s="124"/>
      <c r="D69" s="125"/>
      <c r="E69" s="94"/>
    </row>
    <row r="70" spans="1:8">
      <c r="B70" s="121" t="s">
        <v>51</v>
      </c>
      <c r="C70" s="95"/>
      <c r="D70" s="126"/>
      <c r="E70" s="158"/>
    </row>
    <row r="71" spans="1:8">
      <c r="B71" s="121" t="s">
        <v>52</v>
      </c>
      <c r="C71" s="95"/>
      <c r="D71" s="126"/>
      <c r="E71" s="158"/>
    </row>
    <row r="72" spans="1:8">
      <c r="B72" s="121" t="s">
        <v>53</v>
      </c>
      <c r="C72" s="95"/>
      <c r="D72" s="126"/>
      <c r="E72" s="158"/>
    </row>
    <row r="73" spans="1:8">
      <c r="B73" s="121" t="s">
        <v>54</v>
      </c>
      <c r="C73" s="95"/>
      <c r="D73" s="126"/>
      <c r="E73" s="158"/>
    </row>
    <row r="74" spans="1:8" ht="15.75">
      <c r="B74" s="122" t="s">
        <v>55</v>
      </c>
      <c r="C74" s="127">
        <f>C69+C70</f>
        <v>0</v>
      </c>
      <c r="D74" s="128"/>
      <c r="E74" s="158"/>
    </row>
    <row r="75" spans="1:8">
      <c r="B75" s="129" t="s">
        <v>56</v>
      </c>
      <c r="C75" s="95">
        <f>3.05*(C14+C15)</f>
        <v>12406.18</v>
      </c>
      <c r="D75" s="126" t="s">
        <v>755</v>
      </c>
      <c r="E75" s="158"/>
    </row>
    <row r="76" spans="1:8" ht="15.75">
      <c r="B76" s="130" t="s">
        <v>57</v>
      </c>
      <c r="C76" s="131">
        <f>1.49*(C14+C15)</f>
        <v>6060.7240000000002</v>
      </c>
      <c r="D76" s="319" t="s">
        <v>859</v>
      </c>
      <c r="E76" s="158"/>
      <c r="H76" s="4"/>
    </row>
    <row r="77" spans="1:8">
      <c r="B77" s="78" t="s">
        <v>58</v>
      </c>
      <c r="C77" s="95">
        <f>(C60+C67)*0.341</f>
        <v>141306.00547289645</v>
      </c>
      <c r="D77" s="126" t="s">
        <v>331</v>
      </c>
      <c r="E77" s="158"/>
    </row>
    <row r="78" spans="1:8" ht="25.5">
      <c r="B78" s="78" t="s">
        <v>95</v>
      </c>
      <c r="C78" s="131">
        <f>(C60+C67+C74+C77)*0.132</f>
        <v>73351.491615156439</v>
      </c>
      <c r="D78" s="126" t="s">
        <v>332</v>
      </c>
      <c r="E78" s="158" t="s">
        <v>99</v>
      </c>
    </row>
    <row r="79" spans="1:8" ht="15.75">
      <c r="B79" s="157" t="s">
        <v>96</v>
      </c>
      <c r="C79" s="127">
        <f>C75+C76+C77+C78</f>
        <v>233124.40108805289</v>
      </c>
      <c r="D79" s="128"/>
      <c r="E79" s="158"/>
      <c r="F79" s="9"/>
      <c r="G79" s="9"/>
      <c r="H79" s="9"/>
    </row>
    <row r="80" spans="1:8">
      <c r="B80" s="78" t="s">
        <v>59</v>
      </c>
      <c r="C80" s="95">
        <f>(C60+C67+C74+C79)*3%</f>
        <v>19425.345417353881</v>
      </c>
      <c r="D80" s="126"/>
      <c r="E80" s="158"/>
      <c r="F80" s="9"/>
      <c r="G80" s="9"/>
      <c r="H80" s="9"/>
    </row>
    <row r="81" spans="1:8" ht="15.75">
      <c r="B81" s="133" t="s">
        <v>23</v>
      </c>
      <c r="C81" s="134">
        <f>C60+C67+C74+C79+C80</f>
        <v>666936.85932914994</v>
      </c>
      <c r="D81" s="135"/>
      <c r="E81" s="158"/>
      <c r="F81" s="9"/>
      <c r="G81" s="9"/>
      <c r="H81" s="9"/>
    </row>
    <row r="82" spans="1:8" ht="15.75">
      <c r="B82" s="133" t="s">
        <v>60</v>
      </c>
      <c r="C82" s="134">
        <f>C81*1.18</f>
        <v>786985.49400839687</v>
      </c>
      <c r="D82" s="135"/>
      <c r="E82" s="158"/>
      <c r="F82" s="9"/>
      <c r="G82" s="9"/>
      <c r="H82" s="9"/>
    </row>
    <row r="83" spans="1:8" ht="15.75">
      <c r="B83" s="136"/>
      <c r="C83" s="137">
        <f>C45-C82</f>
        <v>-38742.852056396776</v>
      </c>
      <c r="D83" s="138"/>
      <c r="E83" s="158"/>
      <c r="F83" s="9"/>
      <c r="G83" s="9"/>
      <c r="H83" s="9"/>
    </row>
    <row r="84" spans="1:8" ht="42.75">
      <c r="B84" s="159" t="s">
        <v>106</v>
      </c>
      <c r="C84" s="188">
        <f>C82/(C14+C15)/12</f>
        <v>16.12305155391379</v>
      </c>
      <c r="D84" s="189" t="s">
        <v>756</v>
      </c>
      <c r="E84" s="160"/>
      <c r="F84" s="9"/>
      <c r="G84" s="9"/>
      <c r="H84" s="9"/>
    </row>
    <row r="85" spans="1:8" s="62" customFormat="1">
      <c r="A85" s="9"/>
      <c r="B85" s="161"/>
      <c r="C85" s="190"/>
      <c r="D85" s="191"/>
      <c r="E85" s="162"/>
      <c r="F85" s="9"/>
      <c r="G85" s="9"/>
      <c r="H85" s="9"/>
    </row>
    <row r="86" spans="1:8" ht="15" customHeight="1">
      <c r="B86" s="345" t="s">
        <v>97</v>
      </c>
      <c r="C86" s="345"/>
      <c r="D86" s="345"/>
      <c r="E86" s="303"/>
      <c r="F86" s="9"/>
      <c r="G86" s="9"/>
      <c r="H86" s="9"/>
    </row>
    <row r="87" spans="1:8" ht="27" customHeight="1">
      <c r="B87" s="348" t="s">
        <v>334</v>
      </c>
      <c r="C87" s="348"/>
      <c r="D87" s="348"/>
      <c r="E87" s="348"/>
      <c r="F87" s="9"/>
      <c r="G87" s="9"/>
      <c r="H87" s="9"/>
    </row>
    <row r="88" spans="1:8" ht="25.5" customHeight="1">
      <c r="B88" s="348" t="s">
        <v>335</v>
      </c>
      <c r="C88" s="348"/>
      <c r="D88" s="348"/>
      <c r="E88" s="348"/>
      <c r="F88" s="9"/>
      <c r="G88" s="9"/>
      <c r="H88" s="9"/>
    </row>
    <row r="89" spans="1:8">
      <c r="B89" s="163"/>
      <c r="C89" s="192"/>
      <c r="D89" s="193"/>
      <c r="F89" s="9"/>
      <c r="G89" s="9"/>
      <c r="H89" s="9"/>
    </row>
    <row r="90" spans="1:8">
      <c r="B90" s="164"/>
      <c r="C90" s="194"/>
      <c r="D90" s="195"/>
      <c r="F90" s="9"/>
      <c r="G90" s="9"/>
      <c r="H90" s="9"/>
    </row>
    <row r="91" spans="1:8">
      <c r="B91" s="344" t="s">
        <v>208</v>
      </c>
      <c r="C91" s="344"/>
      <c r="D91" s="344"/>
      <c r="F91" s="9"/>
      <c r="G91" s="9"/>
      <c r="H91" s="9"/>
    </row>
    <row r="92" spans="1:8">
      <c r="F92" s="9"/>
      <c r="G92" s="9"/>
      <c r="H92" s="9"/>
    </row>
    <row r="93" spans="1:8">
      <c r="F93" s="9"/>
      <c r="G93" s="9"/>
      <c r="H93" s="9"/>
    </row>
    <row r="94" spans="1:8">
      <c r="F94" s="9"/>
      <c r="G94" s="9"/>
      <c r="H94" s="9"/>
    </row>
    <row r="95" spans="1:8">
      <c r="F95" s="9"/>
      <c r="G95" s="9"/>
      <c r="H95" s="9"/>
    </row>
    <row r="96" spans="1:8">
      <c r="F96" s="9"/>
      <c r="G96" s="9"/>
      <c r="H96" s="9"/>
    </row>
    <row r="97" spans="2:8">
      <c r="F97" s="9"/>
      <c r="G97" s="9"/>
      <c r="H97" s="9"/>
    </row>
    <row r="98" spans="2:8">
      <c r="F98" s="9"/>
      <c r="G98" s="9"/>
      <c r="H98" s="9"/>
    </row>
    <row r="99" spans="2:8">
      <c r="F99" s="9"/>
      <c r="G99" s="9"/>
      <c r="H99" s="9"/>
    </row>
    <row r="100" spans="2:8" s="9" customFormat="1">
      <c r="B100" s="47"/>
      <c r="C100" s="47"/>
      <c r="D100" s="47"/>
      <c r="E100" s="145"/>
    </row>
    <row r="101" spans="2:8" s="9" customFormat="1">
      <c r="B101" s="47"/>
      <c r="C101" s="47"/>
      <c r="D101" s="47"/>
      <c r="E101" s="145"/>
    </row>
    <row r="102" spans="2:8" s="9" customFormat="1">
      <c r="B102" s="47"/>
      <c r="C102" s="47"/>
      <c r="D102" s="47"/>
      <c r="E102" s="145"/>
    </row>
    <row r="103" spans="2:8" s="9" customFormat="1">
      <c r="B103" s="47"/>
      <c r="C103" s="47"/>
      <c r="D103" s="47"/>
      <c r="E103" s="145"/>
    </row>
    <row r="104" spans="2:8" s="9" customFormat="1">
      <c r="B104" s="47"/>
      <c r="C104" s="47"/>
      <c r="D104" s="47"/>
      <c r="E104" s="145"/>
    </row>
    <row r="105" spans="2:8" s="9" customFormat="1">
      <c r="B105" s="47"/>
      <c r="C105" s="47"/>
      <c r="D105" s="47"/>
      <c r="E105" s="145"/>
    </row>
    <row r="106" spans="2:8" s="9" customFormat="1">
      <c r="B106" s="47"/>
      <c r="C106" s="47"/>
      <c r="D106" s="47"/>
      <c r="E106" s="145"/>
    </row>
    <row r="107" spans="2:8" s="9" customFormat="1">
      <c r="B107" s="47"/>
      <c r="C107" s="47"/>
      <c r="D107" s="47"/>
      <c r="E107" s="145"/>
    </row>
  </sheetData>
  <mergeCells count="6">
    <mergeCell ref="B91:D91"/>
    <mergeCell ref="B86:D86"/>
    <mergeCell ref="B10:E10"/>
    <mergeCell ref="B11:E12"/>
    <mergeCell ref="B87:E87"/>
    <mergeCell ref="B88:E88"/>
  </mergeCells>
  <pageMargins left="0.39370078740157483" right="0.11811023622047245" top="0.2" bottom="0.48" header="0.16" footer="0.57999999999999996"/>
  <pageSetup paperSize="9" scale="9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B3:K97"/>
  <sheetViews>
    <sheetView topLeftCell="A45" workbookViewId="0">
      <selection activeCell="C51" sqref="C51:C5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" style="9" customWidth="1"/>
    <col min="6" max="6" width="7" style="62" customWidth="1"/>
    <col min="7" max="8" width="9.140625" style="62"/>
    <col min="9" max="9" width="17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15.7</v>
      </c>
      <c r="K5" s="148" t="s">
        <v>186</v>
      </c>
    </row>
    <row r="6" spans="2:11" ht="15.75">
      <c r="D6" s="176"/>
      <c r="I6" s="147" t="s">
        <v>162</v>
      </c>
      <c r="J6" s="147">
        <v>423.8</v>
      </c>
      <c r="K6" s="148"/>
    </row>
    <row r="7" spans="2:11" ht="15.75">
      <c r="D7" s="176" t="s">
        <v>297</v>
      </c>
      <c r="I7" s="147" t="s">
        <v>163</v>
      </c>
      <c r="J7" s="147">
        <v>8</v>
      </c>
      <c r="K7" s="148"/>
    </row>
    <row r="8" spans="2:11" ht="15.75">
      <c r="D8" s="66"/>
      <c r="I8" s="147" t="s">
        <v>164</v>
      </c>
      <c r="J8" s="283">
        <v>27</v>
      </c>
      <c r="K8" s="148"/>
    </row>
    <row r="9" spans="2:11" ht="15.75">
      <c r="D9" s="66"/>
      <c r="I9" s="149" t="s">
        <v>165</v>
      </c>
      <c r="J9" s="147">
        <v>2263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0</v>
      </c>
      <c r="K10" s="148"/>
    </row>
    <row r="11" spans="2:11" ht="15" customHeight="1">
      <c r="B11" s="347" t="s">
        <v>128</v>
      </c>
      <c r="C11" s="347"/>
      <c r="D11" s="347"/>
      <c r="E11" s="347"/>
      <c r="I11" s="147" t="s">
        <v>167</v>
      </c>
      <c r="J11" s="147">
        <v>364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9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423.8</v>
      </c>
      <c r="D14" s="77" t="s">
        <v>61</v>
      </c>
      <c r="I14" s="147" t="s">
        <v>170</v>
      </c>
      <c r="J14" s="147">
        <v>662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1116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8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37.154751101543297</v>
      </c>
      <c r="K17" s="148"/>
    </row>
    <row r="18" spans="2:11">
      <c r="B18" s="93" t="s">
        <v>7</v>
      </c>
      <c r="C18" s="198">
        <f>C14*15.7*12</f>
        <v>79843.92</v>
      </c>
      <c r="D18" s="155" t="s">
        <v>757</v>
      </c>
      <c r="E18" s="199" t="s">
        <v>99</v>
      </c>
      <c r="I18" s="147" t="s">
        <v>174</v>
      </c>
      <c r="J18" s="147">
        <v>3.12</v>
      </c>
      <c r="K18" s="148"/>
    </row>
    <row r="19" spans="2:11" ht="38.25">
      <c r="B19" s="94" t="s">
        <v>8</v>
      </c>
      <c r="C19" s="286">
        <f>27*(211.42*6*1.45/12+226.93*6*1.45/12)*1.18</f>
        <v>10125.227475</v>
      </c>
      <c r="D19" s="287" t="s">
        <v>758</v>
      </c>
      <c r="E19" s="200"/>
      <c r="I19" s="147" t="s">
        <v>175</v>
      </c>
      <c r="J19" s="150">
        <v>0.35</v>
      </c>
      <c r="K19" s="154">
        <f>(J15/3+J14)/2920</f>
        <v>0.35410958904109591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5.5555555555555552E-2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79843.92</v>
      </c>
      <c r="D24" s="83"/>
      <c r="E24" s="200"/>
      <c r="I24" s="148" t="s">
        <v>180</v>
      </c>
      <c r="J24" s="148"/>
      <c r="K24" s="154">
        <f>J30/1180</f>
        <v>0</v>
      </c>
    </row>
    <row r="25" spans="2:11">
      <c r="B25" s="104" t="s">
        <v>11</v>
      </c>
      <c r="C25" s="65">
        <f>C26+C27+C28+C29+C30+C31</f>
        <v>1485</v>
      </c>
      <c r="D25" s="83"/>
      <c r="E25" s="200"/>
      <c r="I25" s="74" t="s">
        <v>181</v>
      </c>
      <c r="J25" s="74">
        <v>423.8</v>
      </c>
      <c r="K25" s="148"/>
    </row>
    <row r="26" spans="2:11">
      <c r="B26" s="78" t="s">
        <v>12</v>
      </c>
      <c r="C26" s="65">
        <f>34.98*12*0</f>
        <v>0</v>
      </c>
      <c r="D26" s="83" t="s">
        <v>13</v>
      </c>
      <c r="E26" s="200"/>
    </row>
    <row r="27" spans="2:11">
      <c r="B27" s="78" t="s">
        <v>14</v>
      </c>
      <c r="C27" s="65">
        <f>137.5*12*0</f>
        <v>0</v>
      </c>
      <c r="D27" s="83" t="s">
        <v>15</v>
      </c>
      <c r="E27" s="200"/>
    </row>
    <row r="28" spans="2:11">
      <c r="B28" s="78" t="s">
        <v>16</v>
      </c>
      <c r="C28" s="65">
        <f>123.75*12*0</f>
        <v>0</v>
      </c>
      <c r="D28" s="83" t="s">
        <v>17</v>
      </c>
      <c r="E28" s="200"/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150*12*0</f>
        <v>0</v>
      </c>
      <c r="D30" s="83" t="s">
        <v>20</v>
      </c>
      <c r="E30" s="200"/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81328.92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(0.35*(3565+200)*1.5*1.15*1.083*1.302*3)+(0.35*(3708+200)*1.5*1.15*1.083*1.302*9)+(0.1*662*12)</f>
        <v>40353.02785628249</v>
      </c>
      <c r="D36" s="291" t="s">
        <v>759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27*(360.84*0.025*3+362.52*0.025*3+382.25*0.025*6)</f>
        <v>3012.9164999999998</v>
      </c>
      <c r="D39" s="293" t="s">
        <v>760</v>
      </c>
      <c r="E39" s="199" t="s">
        <v>101</v>
      </c>
      <c r="H39" s="3"/>
    </row>
    <row r="40" spans="2:8" ht="15.75">
      <c r="B40" s="113" t="s">
        <v>31</v>
      </c>
      <c r="C40" s="294">
        <f>(16.86+17.53)*8</f>
        <v>275.12</v>
      </c>
      <c r="D40" s="295" t="s">
        <v>724</v>
      </c>
      <c r="E40" s="200" t="s">
        <v>102</v>
      </c>
      <c r="H40" s="3"/>
    </row>
    <row r="41" spans="2:8" ht="36.75" customHeight="1">
      <c r="B41" s="113" t="s">
        <v>32</v>
      </c>
      <c r="C41" s="294">
        <f>(49.72+51.71)*2*8</f>
        <v>1622.88</v>
      </c>
      <c r="D41" s="295" t="s">
        <v>725</v>
      </c>
      <c r="E41" s="200" t="s">
        <v>103</v>
      </c>
      <c r="H41" s="3"/>
    </row>
    <row r="42" spans="2:8" ht="15.75">
      <c r="B42" s="113" t="s">
        <v>33</v>
      </c>
      <c r="C42" s="185">
        <f>0.26*423.8*12</f>
        <v>1322.2560000000001</v>
      </c>
      <c r="D42" s="155" t="s">
        <v>287</v>
      </c>
      <c r="E42" s="200" t="s">
        <v>99</v>
      </c>
      <c r="H42" s="3"/>
    </row>
    <row r="43" spans="2:8" ht="15.75">
      <c r="B43" s="115" t="s">
        <v>34</v>
      </c>
      <c r="C43" s="185">
        <f>1.02*423.8*4</f>
        <v>1729.104</v>
      </c>
      <c r="D43" s="155" t="s">
        <v>288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 t="s">
        <v>99</v>
      </c>
      <c r="H45" s="3"/>
    </row>
    <row r="46" spans="2:8" ht="15.75" hidden="1">
      <c r="B46" s="94" t="s">
        <v>182</v>
      </c>
      <c r="C46" s="70">
        <f>616.88*0</f>
        <v>0</v>
      </c>
      <c r="D46" s="69" t="s">
        <v>204</v>
      </c>
      <c r="E46" s="200" t="s">
        <v>187</v>
      </c>
      <c r="H46" s="3"/>
    </row>
    <row r="47" spans="2:8" ht="50.25" customHeight="1">
      <c r="B47" s="94" t="s">
        <v>40</v>
      </c>
      <c r="C47" s="299">
        <f>27*(211.42*6*1.45/12+226.93*6*1.45/12)</f>
        <v>8580.7012500000001</v>
      </c>
      <c r="D47" s="297" t="s">
        <v>761</v>
      </c>
      <c r="E47" s="200" t="s">
        <v>101</v>
      </c>
      <c r="H47" s="3"/>
    </row>
    <row r="48" spans="2:8" ht="25.5">
      <c r="B48" s="94" t="s">
        <v>41</v>
      </c>
      <c r="C48" s="296">
        <f>0*(232.8*6+243.11*6)</f>
        <v>0</v>
      </c>
      <c r="D48" s="300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56896.005606282488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(3.12*96.4189*3)+(3.12*100.2864*9)+(1.78*(C14+C15)*12)</f>
        <v>12770.891016000001</v>
      </c>
      <c r="D51" s="301" t="s">
        <v>762</v>
      </c>
      <c r="E51" s="204"/>
    </row>
    <row r="52" spans="2:5">
      <c r="B52" s="115" t="s">
        <v>45</v>
      </c>
      <c r="C52" s="65">
        <f>13.69*364</f>
        <v>4983.16</v>
      </c>
      <c r="D52" s="83" t="s">
        <v>763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764</v>
      </c>
      <c r="E53" s="200"/>
    </row>
    <row r="54" spans="2:5" ht="51">
      <c r="B54" s="113" t="s">
        <v>46</v>
      </c>
      <c r="C54" s="294">
        <f>(632.04+251.07/3)*2263/1000</f>
        <v>1619.6969899999999</v>
      </c>
      <c r="D54" s="301" t="s">
        <v>765</v>
      </c>
      <c r="E54" s="94" t="s">
        <v>105</v>
      </c>
    </row>
    <row r="55" spans="2:5" ht="51">
      <c r="B55" s="121" t="s">
        <v>47</v>
      </c>
      <c r="C55" s="302">
        <f>((37.15/12*3*96.4189)+(37.15/12*9*100.2864))+((37.15/12*3*96.4189)+(37.15/12*9*100.2864))/1.302*25%</f>
        <v>4398.1920038556063</v>
      </c>
      <c r="D55" s="301" t="s">
        <v>766</v>
      </c>
      <c r="E55" s="200"/>
    </row>
    <row r="56" spans="2:5" ht="15.75">
      <c r="B56" s="122" t="s">
        <v>48</v>
      </c>
      <c r="C56" s="117">
        <f>C51+C52+C53+C54+C55</f>
        <v>23771.940009855607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3.05*(C14+0)</f>
        <v>1292.5899999999999</v>
      </c>
      <c r="D64" s="126" t="s">
        <v>767</v>
      </c>
      <c r="E64" s="200"/>
    </row>
    <row r="65" spans="2:8" ht="15.75">
      <c r="B65" s="130" t="s">
        <v>57</v>
      </c>
      <c r="C65" s="131">
        <f>1.49*(C14+0)</f>
        <v>631.46199999999999</v>
      </c>
      <c r="D65" s="131" t="s">
        <v>860</v>
      </c>
      <c r="E65" s="200"/>
      <c r="H65" s="4"/>
    </row>
    <row r="66" spans="2:8">
      <c r="B66" s="78" t="s">
        <v>58</v>
      </c>
      <c r="C66" s="95">
        <f>(C49+C56)*0.341</f>
        <v>27507.769455103091</v>
      </c>
      <c r="D66" s="126" t="s">
        <v>331</v>
      </c>
      <c r="E66" s="200"/>
    </row>
    <row r="67" spans="2:8" ht="44.25" customHeight="1">
      <c r="B67" s="78" t="s">
        <v>95</v>
      </c>
      <c r="C67" s="131">
        <f>(C49+C56+C66)*0.132</f>
        <v>14279.194389403836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43711.015844506925</v>
      </c>
      <c r="D68" s="128"/>
      <c r="E68" s="200"/>
    </row>
    <row r="69" spans="2:8">
      <c r="B69" s="78" t="s">
        <v>59</v>
      </c>
      <c r="C69" s="95">
        <f>(C49+C56+C63+C68)*3%</f>
        <v>3731.3688438193503</v>
      </c>
      <c r="D69" s="126"/>
      <c r="E69" s="200"/>
    </row>
    <row r="70" spans="2:8" ht="15.75">
      <c r="B70" s="133" t="s">
        <v>23</v>
      </c>
      <c r="C70" s="134">
        <f>C49+C56+C63+C68+C69</f>
        <v>128110.33030446437</v>
      </c>
      <c r="D70" s="135"/>
      <c r="E70" s="200"/>
    </row>
    <row r="71" spans="2:8" ht="15.75">
      <c r="B71" s="133" t="s">
        <v>60</v>
      </c>
      <c r="C71" s="134">
        <f>C70*1.18</f>
        <v>151170.18975926796</v>
      </c>
      <c r="D71" s="135"/>
      <c r="E71" s="108"/>
    </row>
    <row r="72" spans="2:8" ht="15.75">
      <c r="B72" s="136"/>
      <c r="C72" s="137">
        <f>C33-C71</f>
        <v>-69841.269759267961</v>
      </c>
      <c r="D72" s="138"/>
      <c r="E72" s="200"/>
    </row>
    <row r="73" spans="2:8" ht="30">
      <c r="B73" s="159" t="s">
        <v>106</v>
      </c>
      <c r="C73" s="188">
        <f>C71/(C14+C15)/12</f>
        <v>29.725143495215502</v>
      </c>
      <c r="D73" s="189" t="s">
        <v>142</v>
      </c>
      <c r="E73" s="108"/>
    </row>
    <row r="74" spans="2:8">
      <c r="B74" s="161"/>
      <c r="C74" s="190"/>
      <c r="D74" s="191"/>
      <c r="E74" s="205"/>
    </row>
    <row r="75" spans="2:8" ht="21.75" customHeight="1">
      <c r="B75" s="345" t="s">
        <v>97</v>
      </c>
      <c r="C75" s="345"/>
      <c r="D75" s="345"/>
      <c r="E75" s="303"/>
    </row>
    <row r="76" spans="2:8" ht="33" customHeight="1">
      <c r="B76" s="348" t="s">
        <v>334</v>
      </c>
      <c r="C76" s="348"/>
      <c r="D76" s="348"/>
      <c r="E76" s="348"/>
    </row>
    <row r="77" spans="2:8" ht="30" customHeight="1">
      <c r="B77" s="348" t="s">
        <v>335</v>
      </c>
      <c r="C77" s="348"/>
      <c r="D77" s="348"/>
      <c r="E77" s="348"/>
    </row>
    <row r="78" spans="2:8" ht="28.5" customHeight="1">
      <c r="B78" s="163"/>
      <c r="C78" s="192"/>
      <c r="D78" s="193"/>
      <c r="E78" s="174"/>
    </row>
    <row r="79" spans="2:8">
      <c r="B79" s="164"/>
      <c r="C79" s="194"/>
      <c r="D79" s="195"/>
      <c r="E79" s="174"/>
    </row>
    <row r="80" spans="2:8">
      <c r="B80" s="344" t="s">
        <v>213</v>
      </c>
      <c r="C80" s="344"/>
      <c r="D80" s="344"/>
      <c r="E80" s="174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</sheetData>
  <mergeCells count="6">
    <mergeCell ref="B80:D80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K116"/>
  <sheetViews>
    <sheetView workbookViewId="0">
      <selection activeCell="S18" sqref="S18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28515625" style="9" customWidth="1"/>
    <col min="6" max="6" width="4.140625" style="62" customWidth="1"/>
    <col min="7" max="7" width="0" style="62" hidden="1" customWidth="1"/>
    <col min="8" max="8" width="3.5703125" style="62" hidden="1" customWidth="1"/>
    <col min="9" max="9" width="14.42578125" style="62" hidden="1" customWidth="1"/>
    <col min="10" max="12" width="0" style="62" hidden="1" customWidth="1"/>
    <col min="13" max="16384" width="9.140625" style="62"/>
  </cols>
  <sheetData>
    <row r="2" spans="2:11">
      <c r="G2" s="220">
        <v>42795</v>
      </c>
    </row>
    <row r="3" spans="2:11" ht="15.75">
      <c r="D3" s="176" t="s">
        <v>0</v>
      </c>
      <c r="E3" s="174"/>
    </row>
    <row r="4" spans="2:11" ht="15.75">
      <c r="D4" s="176" t="s">
        <v>298</v>
      </c>
      <c r="E4" s="174"/>
    </row>
    <row r="5" spans="2:11" ht="15.75">
      <c r="D5" s="176" t="s">
        <v>206</v>
      </c>
      <c r="E5" s="174"/>
      <c r="I5" s="146" t="s">
        <v>160</v>
      </c>
      <c r="J5" s="283">
        <v>14.83</v>
      </c>
      <c r="K5" s="148" t="s">
        <v>186</v>
      </c>
    </row>
    <row r="6" spans="2:11" ht="15.75">
      <c r="D6" s="176"/>
      <c r="E6" s="174"/>
      <c r="I6" s="147" t="s">
        <v>162</v>
      </c>
      <c r="J6" s="147">
        <v>2786.4</v>
      </c>
      <c r="K6" s="148"/>
    </row>
    <row r="7" spans="2:11" ht="15.75">
      <c r="D7" s="176" t="s">
        <v>297</v>
      </c>
      <c r="E7" s="174"/>
      <c r="I7" s="147" t="s">
        <v>163</v>
      </c>
      <c r="J7" s="147">
        <v>72</v>
      </c>
      <c r="K7" s="148"/>
    </row>
    <row r="8" spans="2:11" ht="15.75">
      <c r="D8" s="66"/>
      <c r="I8" s="147" t="s">
        <v>164</v>
      </c>
      <c r="J8" s="283">
        <v>138</v>
      </c>
      <c r="K8" s="148"/>
    </row>
    <row r="9" spans="2:11" ht="15.75">
      <c r="D9" s="66"/>
      <c r="I9" s="149" t="s">
        <v>165</v>
      </c>
      <c r="J9" s="147">
        <v>12203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0</v>
      </c>
      <c r="K10" s="148"/>
    </row>
    <row r="11" spans="2:11" ht="15" customHeight="1">
      <c r="B11" s="347" t="s">
        <v>108</v>
      </c>
      <c r="C11" s="347"/>
      <c r="D11" s="347"/>
      <c r="E11" s="347"/>
      <c r="I11" s="147" t="s">
        <v>167</v>
      </c>
      <c r="J11" s="147">
        <v>1138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2786.4</v>
      </c>
      <c r="D14" s="77" t="s">
        <v>61</v>
      </c>
      <c r="I14" s="147" t="s">
        <v>170</v>
      </c>
      <c r="J14" s="283">
        <v>1234</v>
      </c>
      <c r="K14" s="148"/>
    </row>
    <row r="15" spans="2:11" s="6" customFormat="1" ht="15.75">
      <c r="B15" s="86" t="s">
        <v>3</v>
      </c>
      <c r="C15" s="87">
        <v>427.5</v>
      </c>
      <c r="D15" s="88"/>
      <c r="E15" s="89"/>
      <c r="I15" s="147" t="s">
        <v>171</v>
      </c>
      <c r="J15" s="285">
        <v>2290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72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386.60232670131501</v>
      </c>
      <c r="K17" s="148"/>
    </row>
    <row r="18" spans="2:11">
      <c r="B18" s="93" t="s">
        <v>7</v>
      </c>
      <c r="C18" s="198">
        <f>C14*14.83*12</f>
        <v>495867.74399999995</v>
      </c>
      <c r="D18" s="155" t="s">
        <v>354</v>
      </c>
      <c r="E18" s="199" t="s">
        <v>99</v>
      </c>
      <c r="I18" s="147" t="s">
        <v>174</v>
      </c>
      <c r="J18" s="147">
        <v>6.65</v>
      </c>
      <c r="K18" s="148"/>
    </row>
    <row r="19" spans="2:11" ht="38.25">
      <c r="B19" s="94" t="s">
        <v>8</v>
      </c>
      <c r="C19" s="325">
        <f>138*(211.42*6*1.45/12+226.93*6*1.45/12)*1.18</f>
        <v>51751.162649999991</v>
      </c>
      <c r="D19" s="326" t="s">
        <v>365</v>
      </c>
      <c r="E19" s="200"/>
      <c r="I19" s="147" t="s">
        <v>175</v>
      </c>
      <c r="J19" s="150">
        <v>0.68</v>
      </c>
      <c r="K19" s="154">
        <f>(J15/3+J14)/2920</f>
        <v>0.68401826484018269</v>
      </c>
    </row>
    <row r="20" spans="2:11">
      <c r="B20" s="96" t="s">
        <v>9</v>
      </c>
      <c r="C20" s="95">
        <f>C21+C24+C27+C30+C33+C36+C39+C42+C45</f>
        <v>101146.55443199999</v>
      </c>
      <c r="D20" s="97"/>
      <c r="E20" s="200"/>
      <c r="I20" s="151" t="s">
        <v>176</v>
      </c>
      <c r="J20" s="151">
        <v>0</v>
      </c>
      <c r="K20" s="148"/>
    </row>
    <row r="21" spans="2:11">
      <c r="B21" s="78" t="s">
        <v>71</v>
      </c>
      <c r="C21" s="98">
        <f>C22+C23</f>
        <v>7229.6889959999999</v>
      </c>
      <c r="D21" s="99"/>
      <c r="E21" s="200"/>
      <c r="I21" s="152" t="s">
        <v>177</v>
      </c>
      <c r="J21" s="153">
        <v>0</v>
      </c>
      <c r="K21" s="148"/>
    </row>
    <row r="22" spans="2:11">
      <c r="B22" s="100" t="s">
        <v>63</v>
      </c>
      <c r="C22" s="198">
        <f>39.3*14.83*12</f>
        <v>6993.8279999999995</v>
      </c>
      <c r="D22" s="229" t="s">
        <v>355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327">
        <f>0.07*(232.8*1.18*6+243.11*1.18*6)</f>
        <v>235.86099600000003</v>
      </c>
      <c r="D23" s="328" t="s">
        <v>368</v>
      </c>
      <c r="E23" s="200" t="s">
        <v>99</v>
      </c>
      <c r="I23" s="74" t="s">
        <v>179</v>
      </c>
      <c r="J23" s="74"/>
      <c r="K23" s="148"/>
    </row>
    <row r="24" spans="2:11">
      <c r="B24" s="78" t="s">
        <v>72</v>
      </c>
      <c r="C24" s="98">
        <f>C25+C26</f>
        <v>11942.395920000003</v>
      </c>
      <c r="D24" s="99"/>
      <c r="E24" s="200"/>
      <c r="I24" s="148" t="s">
        <v>180</v>
      </c>
      <c r="J24" s="148"/>
      <c r="K24" s="148"/>
    </row>
    <row r="25" spans="2:11">
      <c r="B25" s="100" t="s">
        <v>63</v>
      </c>
      <c r="C25" s="198">
        <f>40.6*14.83*12</f>
        <v>7225.1760000000013</v>
      </c>
      <c r="D25" s="229" t="s">
        <v>356</v>
      </c>
      <c r="E25" s="200" t="s">
        <v>99</v>
      </c>
      <c r="I25" s="74" t="s">
        <v>185</v>
      </c>
      <c r="J25" s="74">
        <v>255</v>
      </c>
      <c r="K25" s="74"/>
    </row>
    <row r="26" spans="2:11" ht="25.5">
      <c r="B26" s="100" t="s">
        <v>64</v>
      </c>
      <c r="C26" s="327">
        <f>1.4*(232.8*1.18*6+243.11*1.18*6)</f>
        <v>4717.2199200000005</v>
      </c>
      <c r="D26" s="328" t="s">
        <v>370</v>
      </c>
      <c r="E26" s="200" t="s">
        <v>99</v>
      </c>
    </row>
    <row r="27" spans="2:11">
      <c r="B27" s="78" t="s">
        <v>189</v>
      </c>
      <c r="C27" s="98">
        <f>C28+C29</f>
        <v>4271.04</v>
      </c>
      <c r="D27" s="99"/>
      <c r="E27" s="200"/>
    </row>
    <row r="28" spans="2:11">
      <c r="B28" s="100" t="s">
        <v>63</v>
      </c>
      <c r="C28" s="198">
        <f>24*14.83*12</f>
        <v>4271.04</v>
      </c>
      <c r="D28" s="229" t="s">
        <v>357</v>
      </c>
      <c r="E28" s="200" t="s">
        <v>99</v>
      </c>
    </row>
    <row r="29" spans="2:11" ht="25.5">
      <c r="B29" s="100" t="s">
        <v>64</v>
      </c>
      <c r="C29" s="327">
        <f>0*(232.8*1.18*6+243.11*1.18*6)</f>
        <v>0</v>
      </c>
      <c r="D29" s="328" t="s">
        <v>308</v>
      </c>
      <c r="E29" s="200" t="s">
        <v>99</v>
      </c>
    </row>
    <row r="30" spans="2:11">
      <c r="B30" s="78" t="s">
        <v>73</v>
      </c>
      <c r="C30" s="98">
        <f>C31+C32</f>
        <v>7522.5272520000008</v>
      </c>
      <c r="D30" s="99"/>
      <c r="E30" s="200"/>
    </row>
    <row r="31" spans="2:11">
      <c r="B31" s="100" t="s">
        <v>63</v>
      </c>
      <c r="C31" s="198">
        <f>31.1*14.83*12</f>
        <v>5534.5560000000005</v>
      </c>
      <c r="D31" s="229" t="s">
        <v>358</v>
      </c>
      <c r="E31" s="200" t="s">
        <v>99</v>
      </c>
    </row>
    <row r="32" spans="2:11" ht="25.5">
      <c r="B32" s="100" t="s">
        <v>64</v>
      </c>
      <c r="C32" s="327">
        <f>0.59*(232.8*1.18*6+243.11*1.18*6)</f>
        <v>1987.971252</v>
      </c>
      <c r="D32" s="328" t="s">
        <v>369</v>
      </c>
      <c r="E32" s="200"/>
    </row>
    <row r="33" spans="2:5">
      <c r="B33" s="78" t="s">
        <v>223</v>
      </c>
      <c r="C33" s="98">
        <f>C34+C35</f>
        <v>11204.657663999998</v>
      </c>
      <c r="D33" s="99"/>
      <c r="E33" s="108"/>
    </row>
    <row r="34" spans="2:5">
      <c r="B34" s="100" t="s">
        <v>63</v>
      </c>
      <c r="C34" s="198">
        <f>46.3*14.83*12</f>
        <v>8239.5479999999989</v>
      </c>
      <c r="D34" s="229" t="s">
        <v>359</v>
      </c>
      <c r="E34" s="200" t="s">
        <v>99</v>
      </c>
    </row>
    <row r="35" spans="2:5" ht="25.5">
      <c r="B35" s="100" t="s">
        <v>64</v>
      </c>
      <c r="C35" s="327">
        <f>0.88*(232.8*1.18*6+243.11*1.18*6)</f>
        <v>2965.1096640000001</v>
      </c>
      <c r="D35" s="328" t="s">
        <v>367</v>
      </c>
      <c r="E35" s="200" t="s">
        <v>99</v>
      </c>
    </row>
    <row r="36" spans="2:5">
      <c r="B36" s="78" t="s">
        <v>74</v>
      </c>
      <c r="C36" s="98">
        <f>C37+C38</f>
        <v>9800.4152520000007</v>
      </c>
      <c r="D36" s="216"/>
      <c r="E36" s="108"/>
    </row>
    <row r="37" spans="2:5">
      <c r="B37" s="100" t="s">
        <v>63</v>
      </c>
      <c r="C37" s="198">
        <f>43.9*14.83*12</f>
        <v>7812.4440000000004</v>
      </c>
      <c r="D37" s="229" t="s">
        <v>360</v>
      </c>
      <c r="E37" s="108" t="s">
        <v>99</v>
      </c>
    </row>
    <row r="38" spans="2:5" ht="25.5">
      <c r="B38" s="100" t="s">
        <v>64</v>
      </c>
      <c r="C38" s="327">
        <f>0.59*(232.8*1.18*6+243.11*1.18*6)</f>
        <v>1987.971252</v>
      </c>
      <c r="D38" s="328" t="s">
        <v>369</v>
      </c>
      <c r="E38" s="108" t="s">
        <v>99</v>
      </c>
    </row>
    <row r="39" spans="2:5">
      <c r="B39" s="78" t="s">
        <v>190</v>
      </c>
      <c r="C39" s="98">
        <f>C40+C41</f>
        <v>9792.363096000001</v>
      </c>
      <c r="D39" s="216"/>
      <c r="E39" s="108"/>
    </row>
    <row r="40" spans="2:5">
      <c r="B40" s="100" t="s">
        <v>63</v>
      </c>
      <c r="C40" s="198">
        <f>39.5*14.83*12</f>
        <v>7029.42</v>
      </c>
      <c r="D40" s="229" t="s">
        <v>361</v>
      </c>
      <c r="E40" s="108" t="s">
        <v>99</v>
      </c>
    </row>
    <row r="41" spans="2:5" ht="25.5">
      <c r="B41" s="100" t="s">
        <v>64</v>
      </c>
      <c r="C41" s="327">
        <f>0.82*(232.8*1.18*6+243.11*1.18*6)</f>
        <v>2762.943096</v>
      </c>
      <c r="D41" s="328" t="s">
        <v>371</v>
      </c>
      <c r="E41" s="108" t="s">
        <v>99</v>
      </c>
    </row>
    <row r="42" spans="2:5">
      <c r="B42" s="78" t="s">
        <v>188</v>
      </c>
      <c r="C42" s="98">
        <f>C43+C44</f>
        <v>21151.030176</v>
      </c>
      <c r="D42" s="216"/>
      <c r="E42" s="108"/>
    </row>
    <row r="43" spans="2:5">
      <c r="B43" s="100" t="s">
        <v>63</v>
      </c>
      <c r="C43" s="198">
        <f>82.5*14.83*12</f>
        <v>14681.699999999999</v>
      </c>
      <c r="D43" s="229" t="s">
        <v>362</v>
      </c>
      <c r="E43" s="108" t="s">
        <v>99</v>
      </c>
    </row>
    <row r="44" spans="2:5" ht="25.5">
      <c r="B44" s="100" t="s">
        <v>64</v>
      </c>
      <c r="C44" s="327">
        <f>1.92*(232.8*1.18*6+243.11*1.18*6)</f>
        <v>6469.3301760000004</v>
      </c>
      <c r="D44" s="328" t="s">
        <v>366</v>
      </c>
      <c r="E44" s="108" t="s">
        <v>99</v>
      </c>
    </row>
    <row r="45" spans="2:5">
      <c r="B45" s="78" t="s">
        <v>224</v>
      </c>
      <c r="C45" s="98">
        <f>C46+C47</f>
        <v>18232.436075999998</v>
      </c>
      <c r="D45" s="216"/>
      <c r="E45" s="108"/>
    </row>
    <row r="46" spans="2:5">
      <c r="B46" s="100" t="s">
        <v>63</v>
      </c>
      <c r="C46" s="198">
        <f>80.3*14.83*12</f>
        <v>14290.187999999998</v>
      </c>
      <c r="D46" s="229" t="s">
        <v>363</v>
      </c>
      <c r="E46" s="108" t="s">
        <v>99</v>
      </c>
    </row>
    <row r="47" spans="2:5" ht="25.5">
      <c r="B47" s="100" t="s">
        <v>64</v>
      </c>
      <c r="C47" s="327">
        <f>1.17*(232.8*1.18*6+243.11*1.18*6)</f>
        <v>3942.2480759999999</v>
      </c>
      <c r="D47" s="328" t="s">
        <v>372</v>
      </c>
      <c r="E47" s="108" t="s">
        <v>99</v>
      </c>
    </row>
    <row r="48" spans="2:5" ht="15.75">
      <c r="B48" s="103" t="s">
        <v>10</v>
      </c>
      <c r="C48" s="65">
        <f>C18+C20</f>
        <v>597014.29843199998</v>
      </c>
      <c r="D48" s="107"/>
      <c r="E48" s="108"/>
    </row>
    <row r="49" spans="2:8">
      <c r="B49" s="104" t="s">
        <v>11</v>
      </c>
      <c r="C49" s="65">
        <f>C50+C51+C52+C53+C54+C55</f>
        <v>6689.76</v>
      </c>
      <c r="D49" s="107"/>
      <c r="E49" s="108"/>
    </row>
    <row r="50" spans="2:8">
      <c r="B50" s="78" t="s">
        <v>12</v>
      </c>
      <c r="C50" s="65">
        <f>34.98*12</f>
        <v>419.76</v>
      </c>
      <c r="D50" s="107" t="s">
        <v>13</v>
      </c>
      <c r="E50" s="108" t="s">
        <v>99</v>
      </c>
    </row>
    <row r="51" spans="2:8">
      <c r="B51" s="78" t="s">
        <v>14</v>
      </c>
      <c r="C51" s="65">
        <f>137.5*12</f>
        <v>1650</v>
      </c>
      <c r="D51" s="107" t="s">
        <v>15</v>
      </c>
      <c r="E51" s="108" t="s">
        <v>99</v>
      </c>
    </row>
    <row r="52" spans="2:8">
      <c r="B52" s="78" t="s">
        <v>16</v>
      </c>
      <c r="C52" s="65">
        <f>123.75*12</f>
        <v>1485</v>
      </c>
      <c r="D52" s="107" t="s">
        <v>17</v>
      </c>
      <c r="E52" s="108" t="s">
        <v>99</v>
      </c>
    </row>
    <row r="53" spans="2:8">
      <c r="B53" s="78" t="s">
        <v>18</v>
      </c>
      <c r="C53" s="65">
        <f>123.75*12</f>
        <v>1485</v>
      </c>
      <c r="D53" s="107" t="s">
        <v>17</v>
      </c>
      <c r="E53" s="108" t="s">
        <v>99</v>
      </c>
    </row>
    <row r="54" spans="2:8">
      <c r="B54" s="78" t="s">
        <v>19</v>
      </c>
      <c r="C54" s="65">
        <f>150*12*0</f>
        <v>0</v>
      </c>
      <c r="D54" s="107" t="s">
        <v>20</v>
      </c>
      <c r="E54" s="108"/>
    </row>
    <row r="55" spans="2:8">
      <c r="B55" s="78" t="s">
        <v>69</v>
      </c>
      <c r="C55" s="65">
        <f>137.5*12</f>
        <v>1650</v>
      </c>
      <c r="D55" s="107" t="s">
        <v>15</v>
      </c>
      <c r="E55" s="108" t="s">
        <v>99</v>
      </c>
    </row>
    <row r="56" spans="2:8">
      <c r="B56" s="104" t="s">
        <v>21</v>
      </c>
      <c r="C56" s="65">
        <v>0</v>
      </c>
      <c r="D56" s="107"/>
      <c r="E56" s="108"/>
    </row>
    <row r="57" spans="2:8" ht="18.75">
      <c r="B57" s="105" t="s">
        <v>23</v>
      </c>
      <c r="C57" s="106">
        <f>C48+C49+C56</f>
        <v>603704.05843199999</v>
      </c>
      <c r="D57" s="107"/>
      <c r="E57" s="108"/>
    </row>
    <row r="58" spans="2:8" ht="15.75">
      <c r="B58" s="91" t="s">
        <v>24</v>
      </c>
      <c r="C58" s="109" t="s">
        <v>5</v>
      </c>
      <c r="D58" s="110" t="s">
        <v>25</v>
      </c>
      <c r="E58" s="108"/>
    </row>
    <row r="59" spans="2:8" ht="15.75">
      <c r="B59" s="111" t="s">
        <v>26</v>
      </c>
      <c r="C59" s="95"/>
      <c r="D59" s="112"/>
      <c r="E59" s="108"/>
      <c r="H59" s="2"/>
    </row>
    <row r="60" spans="2:8" ht="51">
      <c r="B60" s="113" t="s">
        <v>27</v>
      </c>
      <c r="C60" s="329">
        <f>(0.68*(3565+200)*1.5*1.15*1.083*1.302*3)+(0.68*(3708+200)*1.5*1.15*1.083*1.302*9)+(0.1*1234*12)</f>
        <v>78337.562692206004</v>
      </c>
      <c r="D60" s="330" t="s">
        <v>373</v>
      </c>
      <c r="E60" s="200" t="s">
        <v>100</v>
      </c>
      <c r="H60" s="3"/>
    </row>
    <row r="61" spans="2:8" ht="15.75">
      <c r="B61" s="113" t="s">
        <v>28</v>
      </c>
      <c r="C61" s="183"/>
      <c r="D61" s="184"/>
      <c r="E61" s="200"/>
      <c r="H61" s="3"/>
    </row>
    <row r="62" spans="2:8" ht="15.75">
      <c r="B62" s="113" t="s">
        <v>29</v>
      </c>
      <c r="C62" s="183"/>
      <c r="D62" s="184"/>
      <c r="E62" s="200"/>
      <c r="H62" s="3"/>
    </row>
    <row r="63" spans="2:8" s="7" customFormat="1" ht="51">
      <c r="B63" s="113" t="s">
        <v>30</v>
      </c>
      <c r="C63" s="331">
        <f>138*(360.84*0.025*3+362.52*0.025*3+382.25*0.025*6)</f>
        <v>15399.351000000001</v>
      </c>
      <c r="D63" s="332" t="s">
        <v>374</v>
      </c>
      <c r="E63" s="199" t="s">
        <v>101</v>
      </c>
      <c r="H63" s="3"/>
    </row>
    <row r="64" spans="2:8" ht="15.75">
      <c r="B64" s="113" t="s">
        <v>31</v>
      </c>
      <c r="C64" s="333">
        <f>(16.86+17.53)*71</f>
        <v>2441.69</v>
      </c>
      <c r="D64" s="334" t="s">
        <v>375</v>
      </c>
      <c r="E64" s="200" t="s">
        <v>102</v>
      </c>
      <c r="H64" s="3"/>
    </row>
    <row r="65" spans="2:8" ht="25.5">
      <c r="B65" s="113" t="s">
        <v>32</v>
      </c>
      <c r="C65" s="333">
        <f>(49.72+51.71)*2*71</f>
        <v>14403.060000000001</v>
      </c>
      <c r="D65" s="334" t="s">
        <v>376</v>
      </c>
      <c r="E65" s="200" t="s">
        <v>103</v>
      </c>
      <c r="H65" s="3"/>
    </row>
    <row r="66" spans="2:8" ht="15.75">
      <c r="B66" s="113" t="s">
        <v>33</v>
      </c>
      <c r="C66" s="185">
        <f>0.26*255*12</f>
        <v>795.59999999999991</v>
      </c>
      <c r="D66" s="155" t="s">
        <v>377</v>
      </c>
      <c r="E66" s="200" t="s">
        <v>99</v>
      </c>
      <c r="H66" s="3"/>
    </row>
    <row r="67" spans="2:8" ht="15.75">
      <c r="B67" s="115" t="s">
        <v>34</v>
      </c>
      <c r="C67" s="185">
        <f>1.02*255*4</f>
        <v>1040.4000000000001</v>
      </c>
      <c r="D67" s="155" t="s">
        <v>225</v>
      </c>
      <c r="E67" s="200" t="s">
        <v>103</v>
      </c>
      <c r="H67" s="3"/>
    </row>
    <row r="68" spans="2:8" ht="25.5">
      <c r="B68" s="94" t="s">
        <v>35</v>
      </c>
      <c r="C68" s="335">
        <f>(700.55*6+728.57*6)</f>
        <v>8574.7199999999993</v>
      </c>
      <c r="D68" s="336" t="s">
        <v>320</v>
      </c>
      <c r="E68" s="200" t="s">
        <v>99</v>
      </c>
      <c r="H68" s="3"/>
    </row>
    <row r="69" spans="2:8" ht="25.5">
      <c r="B69" s="94" t="s">
        <v>70</v>
      </c>
      <c r="C69" s="337">
        <f>(695.13*6+722.94*6)*0</f>
        <v>0</v>
      </c>
      <c r="D69" s="336" t="s">
        <v>321</v>
      </c>
      <c r="E69" s="200" t="s">
        <v>99</v>
      </c>
      <c r="H69" s="3"/>
    </row>
    <row r="70" spans="2:8" ht="15.75">
      <c r="B70" s="94" t="s">
        <v>216</v>
      </c>
      <c r="C70" s="70">
        <f>388.36*12</f>
        <v>4660.32</v>
      </c>
      <c r="D70" s="186" t="s">
        <v>866</v>
      </c>
      <c r="E70" s="200" t="s">
        <v>99</v>
      </c>
      <c r="H70" s="3"/>
    </row>
    <row r="71" spans="2:8" ht="50.25" customHeight="1">
      <c r="B71" s="94" t="s">
        <v>40</v>
      </c>
      <c r="C71" s="338">
        <f>138*(211.42*6*1.45/12+226.93*6*1.45/12)</f>
        <v>43856.917499999996</v>
      </c>
      <c r="D71" s="336" t="s">
        <v>378</v>
      </c>
      <c r="E71" s="200" t="s">
        <v>101</v>
      </c>
      <c r="H71" s="3"/>
    </row>
    <row r="72" spans="2:8" ht="25.5">
      <c r="B72" s="94" t="s">
        <v>41</v>
      </c>
      <c r="C72" s="335">
        <f>7.44*(232.8*6+243.11*6)</f>
        <v>21244.6224</v>
      </c>
      <c r="D72" s="339" t="s">
        <v>379</v>
      </c>
      <c r="E72" s="200" t="s">
        <v>101</v>
      </c>
      <c r="H72" s="3"/>
    </row>
    <row r="73" spans="2:8" ht="15.75">
      <c r="B73" s="116" t="s">
        <v>42</v>
      </c>
      <c r="C73" s="117">
        <f>C60+C61+C62+C63+C64+C65+C66+C67+C68+C69+C70+C71+C72</f>
        <v>190754.24359220598</v>
      </c>
      <c r="D73" s="118"/>
      <c r="E73" s="108"/>
    </row>
    <row r="74" spans="2:8">
      <c r="B74" s="113" t="s">
        <v>43</v>
      </c>
      <c r="C74" s="65"/>
      <c r="D74" s="83"/>
      <c r="E74" s="200"/>
    </row>
    <row r="75" spans="2:8" s="8" customFormat="1" ht="51">
      <c r="B75" s="119" t="s">
        <v>44</v>
      </c>
      <c r="C75" s="333">
        <f>(6.65*96.4189*3)+(6.65*100.2864*9)+(1.78*(C14+C15)*12)</f>
        <v>76574.602095000009</v>
      </c>
      <c r="D75" s="340" t="s">
        <v>380</v>
      </c>
      <c r="E75" s="204"/>
    </row>
    <row r="76" spans="2:8">
      <c r="B76" s="115" t="s">
        <v>45</v>
      </c>
      <c r="C76" s="65">
        <f>13.69*1138</f>
        <v>15579.22</v>
      </c>
      <c r="D76" s="83" t="s">
        <v>381</v>
      </c>
      <c r="E76" s="200" t="s">
        <v>104</v>
      </c>
    </row>
    <row r="77" spans="2:8" ht="89.25">
      <c r="B77" s="172" t="s">
        <v>94</v>
      </c>
      <c r="C77" s="70">
        <f>17.51*(C14+C15)</f>
        <v>56275.38900000001</v>
      </c>
      <c r="D77" s="83" t="s">
        <v>382</v>
      </c>
      <c r="E77" s="200"/>
    </row>
    <row r="78" spans="2:8" ht="51">
      <c r="B78" s="113" t="s">
        <v>46</v>
      </c>
      <c r="C78" s="333">
        <f>(632.04+251.07/3)*12203/1000</f>
        <v>8734.0531899999987</v>
      </c>
      <c r="D78" s="340" t="s">
        <v>383</v>
      </c>
      <c r="E78" s="94" t="s">
        <v>105</v>
      </c>
    </row>
    <row r="79" spans="2:8" ht="51">
      <c r="B79" s="121" t="s">
        <v>47</v>
      </c>
      <c r="C79" s="341">
        <f>((386.6/12*3*96.4189)+(386.6/12*9*100.2864))+((386.6/12*3*96.4189)+(386.6/12*9*100.2864))/1.302*25%</f>
        <v>45769.610462734265</v>
      </c>
      <c r="D79" s="340" t="s">
        <v>384</v>
      </c>
      <c r="E79" s="200"/>
    </row>
    <row r="80" spans="2:8" ht="15.75">
      <c r="B80" s="122" t="s">
        <v>48</v>
      </c>
      <c r="C80" s="117">
        <f>C75+C76+C77+C78+C79</f>
        <v>202932.87474773431</v>
      </c>
      <c r="D80" s="118"/>
      <c r="E80" s="200"/>
    </row>
    <row r="81" spans="2:8">
      <c r="B81" s="121" t="s">
        <v>49</v>
      </c>
      <c r="C81" s="65"/>
      <c r="D81" s="83"/>
      <c r="E81" s="200"/>
    </row>
    <row r="82" spans="2:8" s="7" customFormat="1" ht="12.75">
      <c r="B82" s="123" t="s">
        <v>50</v>
      </c>
      <c r="C82" s="124"/>
      <c r="D82" s="125"/>
      <c r="E82" s="199"/>
    </row>
    <row r="83" spans="2:8">
      <c r="B83" s="121" t="s">
        <v>51</v>
      </c>
      <c r="C83" s="95"/>
      <c r="D83" s="126"/>
      <c r="E83" s="200"/>
    </row>
    <row r="84" spans="2:8">
      <c r="B84" s="121" t="s">
        <v>52</v>
      </c>
      <c r="C84" s="95"/>
      <c r="D84" s="126"/>
      <c r="E84" s="200"/>
    </row>
    <row r="85" spans="2:8">
      <c r="B85" s="121" t="s">
        <v>53</v>
      </c>
      <c r="C85" s="95"/>
      <c r="D85" s="126"/>
      <c r="E85" s="200"/>
    </row>
    <row r="86" spans="2:8">
      <c r="B86" s="121" t="s">
        <v>54</v>
      </c>
      <c r="C86" s="95"/>
      <c r="D86" s="126"/>
      <c r="E86" s="200"/>
    </row>
    <row r="87" spans="2:8" ht="15.75">
      <c r="B87" s="122" t="s">
        <v>55</v>
      </c>
      <c r="C87" s="127">
        <f>C82+C83</f>
        <v>0</v>
      </c>
      <c r="D87" s="128"/>
      <c r="E87" s="200"/>
    </row>
    <row r="88" spans="2:8">
      <c r="B88" s="129" t="s">
        <v>56</v>
      </c>
      <c r="C88" s="95">
        <f>3.05*(C14+C15)</f>
        <v>9802.3950000000004</v>
      </c>
      <c r="D88" s="126" t="s">
        <v>385</v>
      </c>
      <c r="E88" s="200"/>
    </row>
    <row r="89" spans="2:8" ht="15.75">
      <c r="B89" s="130" t="s">
        <v>57</v>
      </c>
      <c r="C89" s="131">
        <f>1.49*(C14+C15)</f>
        <v>4788.7110000000002</v>
      </c>
      <c r="D89" s="126" t="s">
        <v>834</v>
      </c>
      <c r="E89" s="200"/>
      <c r="H89" s="4"/>
    </row>
    <row r="90" spans="2:8">
      <c r="B90" s="78" t="s">
        <v>58</v>
      </c>
      <c r="C90" s="95">
        <f>(C73+C80)*0.341</f>
        <v>134247.30735391966</v>
      </c>
      <c r="D90" s="126" t="s">
        <v>331</v>
      </c>
      <c r="E90" s="200"/>
    </row>
    <row r="91" spans="2:8" ht="38.25">
      <c r="B91" s="78" t="s">
        <v>95</v>
      </c>
      <c r="C91" s="131">
        <f>(C73+C80+C90)*0.132</f>
        <v>69687.344191589524</v>
      </c>
      <c r="D91" s="126" t="s">
        <v>332</v>
      </c>
      <c r="E91" s="200" t="s">
        <v>99</v>
      </c>
    </row>
    <row r="92" spans="2:8" ht="15.75">
      <c r="B92" s="157" t="s">
        <v>96</v>
      </c>
      <c r="C92" s="127">
        <f>C88+C89+C90+C91</f>
        <v>218525.7575455092</v>
      </c>
      <c r="D92" s="128"/>
      <c r="E92" s="200"/>
    </row>
    <row r="93" spans="2:8">
      <c r="B93" s="78" t="s">
        <v>59</v>
      </c>
      <c r="C93" s="95">
        <f>(C73+C80+C87+C92)*3%</f>
        <v>18366.386276563488</v>
      </c>
      <c r="D93" s="126"/>
      <c r="E93" s="200"/>
    </row>
    <row r="94" spans="2:8" ht="15.75">
      <c r="B94" s="133" t="s">
        <v>23</v>
      </c>
      <c r="C94" s="134">
        <f>C73+C80+C87+C92+C93</f>
        <v>630579.2621620131</v>
      </c>
      <c r="D94" s="135"/>
      <c r="E94" s="200"/>
    </row>
    <row r="95" spans="2:8" ht="15.75">
      <c r="B95" s="133" t="s">
        <v>60</v>
      </c>
      <c r="C95" s="134">
        <f>C94*1.18</f>
        <v>744083.52935117541</v>
      </c>
      <c r="D95" s="135"/>
      <c r="E95" s="108"/>
    </row>
    <row r="96" spans="2:8" ht="15.75">
      <c r="B96" s="136"/>
      <c r="C96" s="137">
        <f>C57-C95</f>
        <v>-140379.47091917542</v>
      </c>
      <c r="D96" s="138"/>
      <c r="E96" s="200"/>
    </row>
    <row r="97" spans="2:5" ht="30">
      <c r="B97" s="159" t="s">
        <v>106</v>
      </c>
      <c r="C97" s="188">
        <f>C95/(C14+C15)/12</f>
        <v>19.293369669020386</v>
      </c>
      <c r="D97" s="189" t="s">
        <v>364</v>
      </c>
      <c r="E97" s="108"/>
    </row>
    <row r="98" spans="2:5">
      <c r="B98" s="161"/>
      <c r="C98" s="190"/>
      <c r="D98" s="191"/>
      <c r="E98" s="205"/>
    </row>
    <row r="99" spans="2:5" ht="15" customHeight="1">
      <c r="B99" s="345" t="s">
        <v>97</v>
      </c>
      <c r="C99" s="345"/>
      <c r="D99" s="345"/>
      <c r="E99" s="303"/>
    </row>
    <row r="100" spans="2:5" ht="33.75" customHeight="1">
      <c r="B100" s="348" t="s">
        <v>334</v>
      </c>
      <c r="C100" s="348"/>
      <c r="D100" s="348"/>
      <c r="E100" s="348"/>
    </row>
    <row r="101" spans="2:5" ht="28.5" customHeight="1">
      <c r="B101" s="348" t="s">
        <v>335</v>
      </c>
      <c r="C101" s="348"/>
      <c r="D101" s="348"/>
      <c r="E101" s="348"/>
    </row>
    <row r="102" spans="2:5" ht="27.75" customHeight="1">
      <c r="B102" s="163"/>
      <c r="C102" s="192"/>
      <c r="D102" s="193"/>
      <c r="E102" s="174"/>
    </row>
    <row r="103" spans="2:5">
      <c r="B103" s="163"/>
      <c r="C103" s="192"/>
      <c r="D103" s="193"/>
      <c r="E103" s="174"/>
    </row>
    <row r="104" spans="2:5">
      <c r="B104" s="164"/>
      <c r="C104" s="194"/>
      <c r="D104" s="195"/>
      <c r="E104" s="174"/>
    </row>
    <row r="105" spans="2:5">
      <c r="B105" s="344" t="s">
        <v>208</v>
      </c>
      <c r="C105" s="344"/>
      <c r="D105" s="344"/>
    </row>
    <row r="109" spans="2:5" s="9" customFormat="1">
      <c r="B109" s="47"/>
      <c r="C109" s="47"/>
      <c r="D109" s="47"/>
    </row>
    <row r="110" spans="2:5" s="9" customFormat="1">
      <c r="B110" s="47"/>
      <c r="C110" s="47"/>
      <c r="D110" s="47"/>
    </row>
    <row r="111" spans="2:5" s="9" customFormat="1">
      <c r="B111" s="47"/>
      <c r="C111" s="47"/>
      <c r="D111" s="47"/>
    </row>
    <row r="112" spans="2:5" s="9" customFormat="1">
      <c r="B112" s="47"/>
      <c r="C112" s="47"/>
      <c r="D112" s="47"/>
    </row>
    <row r="113" spans="2:4" s="9" customFormat="1">
      <c r="B113" s="47"/>
      <c r="C113" s="47"/>
      <c r="D113" s="47"/>
    </row>
    <row r="114" spans="2:4" s="9" customFormat="1">
      <c r="B114" s="47"/>
      <c r="C114" s="47"/>
      <c r="D114" s="47"/>
    </row>
    <row r="115" spans="2:4" s="9" customFormat="1">
      <c r="B115" s="47"/>
      <c r="C115" s="47"/>
      <c r="D115" s="47"/>
    </row>
    <row r="116" spans="2:4" s="9" customFormat="1">
      <c r="B116" s="47"/>
      <c r="C116" s="47"/>
      <c r="D116" s="47"/>
    </row>
  </sheetData>
  <mergeCells count="6">
    <mergeCell ref="B105:D105"/>
    <mergeCell ref="B99:D99"/>
    <mergeCell ref="B10:E10"/>
    <mergeCell ref="B11:E12"/>
    <mergeCell ref="B100:E100"/>
    <mergeCell ref="B101:E10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B3:K97"/>
  <sheetViews>
    <sheetView topLeftCell="A55" workbookViewId="0">
      <selection activeCell="C51" sqref="C51:C5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7109375" style="9" customWidth="1"/>
    <col min="6" max="6" width="5.28515625" style="62" customWidth="1"/>
    <col min="7" max="7" width="11.5703125" style="62" customWidth="1"/>
    <col min="8" max="8" width="9.140625" style="62"/>
    <col min="9" max="9" width="14.710937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15.7</v>
      </c>
      <c r="K5" s="148" t="s">
        <v>186</v>
      </c>
    </row>
    <row r="6" spans="2:11" ht="15.75">
      <c r="D6" s="176"/>
      <c r="I6" s="147" t="s">
        <v>162</v>
      </c>
      <c r="J6" s="147">
        <v>414.9</v>
      </c>
      <c r="K6" s="148"/>
    </row>
    <row r="7" spans="2:11" ht="15.75">
      <c r="D7" s="176" t="s">
        <v>297</v>
      </c>
      <c r="I7" s="147" t="s">
        <v>163</v>
      </c>
      <c r="J7" s="147">
        <v>8</v>
      </c>
      <c r="K7" s="148"/>
    </row>
    <row r="8" spans="2:11" ht="15.75">
      <c r="D8" s="66"/>
      <c r="I8" s="147" t="s">
        <v>164</v>
      </c>
      <c r="J8" s="283">
        <v>30</v>
      </c>
      <c r="K8" s="148"/>
    </row>
    <row r="9" spans="2:11" ht="15.75">
      <c r="D9" s="66"/>
      <c r="I9" s="149" t="s">
        <v>165</v>
      </c>
      <c r="J9" s="147">
        <v>2183</v>
      </c>
      <c r="K9" s="148"/>
    </row>
    <row r="10" spans="2:11" ht="28.5" customHeight="1">
      <c r="B10" s="346" t="s">
        <v>299</v>
      </c>
      <c r="C10" s="346"/>
      <c r="D10" s="346"/>
      <c r="E10" s="346"/>
      <c r="I10" s="147" t="s">
        <v>166</v>
      </c>
      <c r="J10" s="147">
        <v>0</v>
      </c>
      <c r="K10" s="148"/>
    </row>
    <row r="11" spans="2:11" ht="15" customHeight="1">
      <c r="B11" s="347" t="s">
        <v>129</v>
      </c>
      <c r="C11" s="347"/>
      <c r="D11" s="347"/>
      <c r="E11" s="347"/>
      <c r="I11" s="147" t="s">
        <v>167</v>
      </c>
      <c r="J11" s="147">
        <v>352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9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414.9</v>
      </c>
      <c r="D14" s="77" t="s">
        <v>61</v>
      </c>
      <c r="I14" s="147" t="s">
        <v>170</v>
      </c>
      <c r="J14" s="147">
        <v>649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6">
        <v>1248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8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41.868724758200003</v>
      </c>
      <c r="K17" s="148"/>
    </row>
    <row r="18" spans="2:11">
      <c r="B18" s="93" t="s">
        <v>7</v>
      </c>
      <c r="C18" s="198">
        <f>C14*15.7*12</f>
        <v>78167.159999999989</v>
      </c>
      <c r="D18" s="155" t="s">
        <v>768</v>
      </c>
      <c r="E18" s="199" t="s">
        <v>99</v>
      </c>
      <c r="I18" s="147" t="s">
        <v>174</v>
      </c>
      <c r="J18" s="147">
        <v>3.11</v>
      </c>
      <c r="K18" s="148"/>
    </row>
    <row r="19" spans="2:11" ht="38.25">
      <c r="B19" s="94" t="s">
        <v>8</v>
      </c>
      <c r="C19" s="286">
        <f>30*(211.42*6*1.45/12+226.93*6*1.45/12)*1.18</f>
        <v>11250.252749999998</v>
      </c>
      <c r="D19" s="287" t="s">
        <v>769</v>
      </c>
      <c r="E19" s="200"/>
      <c r="I19" s="147" t="s">
        <v>175</v>
      </c>
      <c r="J19" s="150">
        <v>0.36</v>
      </c>
      <c r="K19" s="154">
        <f>(J15/3+J14)/2920</f>
        <v>0.36472602739726029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5.5555555555555552E-2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78167.159999999989</v>
      </c>
      <c r="D24" s="83"/>
      <c r="E24" s="200"/>
      <c r="I24" s="148" t="s">
        <v>180</v>
      </c>
      <c r="J24" s="148"/>
      <c r="K24" s="154">
        <f>J30/1180</f>
        <v>0</v>
      </c>
    </row>
    <row r="25" spans="2:11">
      <c r="B25" s="104" t="s">
        <v>11</v>
      </c>
      <c r="C25" s="65">
        <f>C26+C27+C28+C29+C30+C31</f>
        <v>0</v>
      </c>
      <c r="D25" s="83"/>
      <c r="E25" s="200"/>
      <c r="I25" s="74" t="s">
        <v>181</v>
      </c>
      <c r="J25" s="74">
        <v>414.9</v>
      </c>
      <c r="K25" s="148"/>
    </row>
    <row r="26" spans="2:11">
      <c r="B26" s="78" t="s">
        <v>12</v>
      </c>
      <c r="C26" s="65">
        <f>34.98*12*0</f>
        <v>0</v>
      </c>
      <c r="D26" s="83" t="s">
        <v>13</v>
      </c>
      <c r="E26" s="200"/>
    </row>
    <row r="27" spans="2:11">
      <c r="B27" s="78" t="s">
        <v>14</v>
      </c>
      <c r="C27" s="65">
        <f>137.5*12*0</f>
        <v>0</v>
      </c>
      <c r="D27" s="83" t="s">
        <v>15</v>
      </c>
      <c r="E27" s="200"/>
    </row>
    <row r="28" spans="2:11">
      <c r="B28" s="78" t="s">
        <v>16</v>
      </c>
      <c r="C28" s="65">
        <f>123.75*12*0</f>
        <v>0</v>
      </c>
      <c r="D28" s="83" t="s">
        <v>17</v>
      </c>
      <c r="E28" s="200"/>
    </row>
    <row r="29" spans="2:11">
      <c r="B29" s="78" t="s">
        <v>18</v>
      </c>
      <c r="C29" s="65">
        <f>123.75*12*0</f>
        <v>0</v>
      </c>
      <c r="D29" s="83" t="s">
        <v>17</v>
      </c>
      <c r="E29" s="200"/>
    </row>
    <row r="30" spans="2:11">
      <c r="B30" s="78" t="s">
        <v>19</v>
      </c>
      <c r="C30" s="65">
        <f>150*12*0</f>
        <v>0</v>
      </c>
      <c r="D30" s="83" t="s">
        <v>20</v>
      </c>
      <c r="E30" s="200"/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78167.159999999989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(0.36*(3565+200)*1.5*1.15*1.083*1.302*3)+(0.36*(3708+200)*1.5*1.15*1.083*1.302*9)+(0.1*649*12)</f>
        <v>41467.674366461993</v>
      </c>
      <c r="D36" s="291" t="s">
        <v>770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30*(360.84*0.025*3+362.52*0.025*3+382.25*0.025*6)</f>
        <v>3347.6849999999999</v>
      </c>
      <c r="D39" s="293" t="s">
        <v>771</v>
      </c>
      <c r="E39" s="199" t="s">
        <v>101</v>
      </c>
      <c r="H39" s="3"/>
    </row>
    <row r="40" spans="2:8" ht="15.75">
      <c r="B40" s="113" t="s">
        <v>31</v>
      </c>
      <c r="C40" s="294">
        <f>(16.86+17.53)*8</f>
        <v>275.12</v>
      </c>
      <c r="D40" s="295" t="s">
        <v>724</v>
      </c>
      <c r="E40" s="200" t="s">
        <v>102</v>
      </c>
      <c r="H40" s="3"/>
    </row>
    <row r="41" spans="2:8" ht="36.75" customHeight="1">
      <c r="B41" s="113" t="s">
        <v>32</v>
      </c>
      <c r="C41" s="294">
        <f>(49.72+51.71)*2*8</f>
        <v>1622.88</v>
      </c>
      <c r="D41" s="295" t="s">
        <v>725</v>
      </c>
      <c r="E41" s="200" t="s">
        <v>103</v>
      </c>
      <c r="H41" s="3"/>
    </row>
    <row r="42" spans="2:8" ht="15.75">
      <c r="B42" s="113" t="s">
        <v>33</v>
      </c>
      <c r="C42" s="185">
        <f>0.26*414.9*12</f>
        <v>1294.4879999999998</v>
      </c>
      <c r="D42" s="155" t="s">
        <v>289</v>
      </c>
      <c r="E42" s="200" t="s">
        <v>99</v>
      </c>
      <c r="H42" s="3"/>
    </row>
    <row r="43" spans="2:8" ht="15.75">
      <c r="B43" s="115" t="s">
        <v>34</v>
      </c>
      <c r="C43" s="185">
        <f>1.02*414.9*4</f>
        <v>1692.7919999999999</v>
      </c>
      <c r="D43" s="155" t="s">
        <v>290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 t="s">
        <v>99</v>
      </c>
      <c r="H45" s="3"/>
    </row>
    <row r="46" spans="2:8" ht="15.75" hidden="1">
      <c r="B46" s="94" t="s">
        <v>182</v>
      </c>
      <c r="C46" s="70">
        <f>616.88*0</f>
        <v>0</v>
      </c>
      <c r="D46" s="69" t="s">
        <v>204</v>
      </c>
      <c r="E46" s="200" t="s">
        <v>187</v>
      </c>
      <c r="H46" s="3"/>
    </row>
    <row r="47" spans="2:8" ht="50.25" customHeight="1">
      <c r="B47" s="94" t="s">
        <v>40</v>
      </c>
      <c r="C47" s="299">
        <f>30*(211.42*6*1.45/12+226.93*6*1.45/12)</f>
        <v>9534.1124999999993</v>
      </c>
      <c r="D47" s="297" t="s">
        <v>772</v>
      </c>
      <c r="E47" s="200" t="s">
        <v>101</v>
      </c>
      <c r="H47" s="3"/>
    </row>
    <row r="48" spans="2:8" ht="25.5">
      <c r="B48" s="94" t="s">
        <v>41</v>
      </c>
      <c r="C48" s="296">
        <f>0*(232.8*6+243.11*6)</f>
        <v>0</v>
      </c>
      <c r="D48" s="300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59234.751866461986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(3.11*96.4189*3)+(3.11*100.2864*9)+(1.78*(C14+C15)*12)</f>
        <v>12568.868672999999</v>
      </c>
      <c r="D51" s="301" t="s">
        <v>773</v>
      </c>
      <c r="E51" s="204"/>
    </row>
    <row r="52" spans="2:5">
      <c r="B52" s="115" t="s">
        <v>45</v>
      </c>
      <c r="C52" s="65">
        <f>13.69*352</f>
        <v>4818.88</v>
      </c>
      <c r="D52" s="83" t="s">
        <v>774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775</v>
      </c>
      <c r="E53" s="200"/>
    </row>
    <row r="54" spans="2:5" ht="51">
      <c r="B54" s="113" t="s">
        <v>46</v>
      </c>
      <c r="C54" s="294">
        <f>(632.04+251.07/3)*2183/1000</f>
        <v>1562.43859</v>
      </c>
      <c r="D54" s="301" t="s">
        <v>776</v>
      </c>
      <c r="E54" s="94" t="s">
        <v>105</v>
      </c>
    </row>
    <row r="55" spans="2:5" ht="51">
      <c r="B55" s="121" t="s">
        <v>47</v>
      </c>
      <c r="C55" s="302">
        <f>((41.87/12*3*96.4189)+(41.87/12*9*100.2864))+((41.87/12*3*96.4189)+(41.87/12*9*100.2864))/1.302*25%</f>
        <v>4956.9932490291849</v>
      </c>
      <c r="D55" s="301" t="s">
        <v>777</v>
      </c>
      <c r="E55" s="200"/>
    </row>
    <row r="56" spans="2:5" ht="15.75">
      <c r="B56" s="122" t="s">
        <v>48</v>
      </c>
      <c r="C56" s="117">
        <f>C51+C52+C53+C54+C55</f>
        <v>23907.180512029183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3.05*(C14+0)</f>
        <v>1265.4449999999999</v>
      </c>
      <c r="D64" s="126" t="s">
        <v>778</v>
      </c>
      <c r="E64" s="200"/>
    </row>
    <row r="65" spans="2:8" ht="15.75">
      <c r="B65" s="130" t="s">
        <v>57</v>
      </c>
      <c r="C65" s="131">
        <f>1.49*(C14+0)</f>
        <v>618.20099999999991</v>
      </c>
      <c r="D65" s="131" t="s">
        <v>861</v>
      </c>
      <c r="E65" s="200"/>
      <c r="H65" s="4"/>
    </row>
    <row r="66" spans="2:8">
      <c r="B66" s="78" t="s">
        <v>58</v>
      </c>
      <c r="C66" s="95">
        <f>(C49+C56)*0.341</f>
        <v>28351.39894106549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14717.11973418148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44952.164675246968</v>
      </c>
      <c r="D68" s="128"/>
      <c r="E68" s="200"/>
    </row>
    <row r="69" spans="2:8">
      <c r="B69" s="78" t="s">
        <v>59</v>
      </c>
      <c r="C69" s="95">
        <f>(C49+C56+C63+C68)*3%</f>
        <v>3842.8229116121438</v>
      </c>
      <c r="D69" s="126"/>
      <c r="E69" s="200"/>
    </row>
    <row r="70" spans="2:8" ht="15.75">
      <c r="B70" s="133" t="s">
        <v>23</v>
      </c>
      <c r="C70" s="134">
        <f>C49+C56+C63+C68+C69</f>
        <v>131936.91996535027</v>
      </c>
      <c r="D70" s="135"/>
      <c r="E70" s="200"/>
    </row>
    <row r="71" spans="2:8" ht="15.75">
      <c r="B71" s="133" t="s">
        <v>60</v>
      </c>
      <c r="C71" s="134">
        <f>C70*1.18</f>
        <v>155685.56555911331</v>
      </c>
      <c r="D71" s="135"/>
      <c r="E71" s="108"/>
    </row>
    <row r="72" spans="2:8" ht="15.75">
      <c r="B72" s="136"/>
      <c r="C72" s="137">
        <f>C33-C71</f>
        <v>-77518.405559113322</v>
      </c>
      <c r="D72" s="138"/>
      <c r="E72" s="200"/>
    </row>
    <row r="73" spans="2:8" ht="30">
      <c r="B73" s="159" t="s">
        <v>106</v>
      </c>
      <c r="C73" s="188">
        <f>C71/(C14+C15)/12</f>
        <v>31.26969662551485</v>
      </c>
      <c r="D73" s="189" t="s">
        <v>143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4.5" customHeight="1">
      <c r="B76" s="348" t="s">
        <v>334</v>
      </c>
      <c r="C76" s="348"/>
      <c r="D76" s="348"/>
      <c r="E76" s="348"/>
    </row>
    <row r="77" spans="2:8" ht="33" customHeight="1">
      <c r="B77" s="348" t="s">
        <v>335</v>
      </c>
      <c r="C77" s="348"/>
      <c r="D77" s="348"/>
      <c r="E77" s="348"/>
    </row>
    <row r="78" spans="2:8" ht="28.5" customHeight="1">
      <c r="B78" s="163"/>
      <c r="C78" s="192"/>
      <c r="D78" s="193"/>
      <c r="E78" s="174"/>
    </row>
    <row r="79" spans="2:8">
      <c r="B79" s="164"/>
      <c r="C79" s="194"/>
      <c r="D79" s="195"/>
      <c r="E79" s="174"/>
    </row>
    <row r="80" spans="2:8">
      <c r="B80" s="344" t="s">
        <v>213</v>
      </c>
      <c r="C80" s="344"/>
      <c r="D80" s="344"/>
      <c r="E80" s="174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</sheetData>
  <mergeCells count="6">
    <mergeCell ref="B80:D80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B3:K98"/>
  <sheetViews>
    <sheetView topLeftCell="A41" workbookViewId="0">
      <selection activeCell="C51" sqref="C51:C5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5703125" style="9" customWidth="1"/>
    <col min="6" max="8" width="9.140625" style="62"/>
    <col min="9" max="9" width="15.4257812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14.28</v>
      </c>
      <c r="K5" s="148" t="s">
        <v>186</v>
      </c>
    </row>
    <row r="6" spans="2:11" ht="15.75">
      <c r="D6" s="176"/>
      <c r="I6" s="147" t="s">
        <v>162</v>
      </c>
      <c r="J6" s="147">
        <v>388.3</v>
      </c>
      <c r="K6" s="148"/>
    </row>
    <row r="7" spans="2:11" ht="15.75">
      <c r="D7" s="176" t="s">
        <v>297</v>
      </c>
      <c r="I7" s="147" t="s">
        <v>163</v>
      </c>
      <c r="J7" s="147">
        <v>8</v>
      </c>
      <c r="K7" s="148"/>
    </row>
    <row r="8" spans="2:11" ht="15.75">
      <c r="D8" s="66"/>
      <c r="I8" s="147" t="s">
        <v>164</v>
      </c>
      <c r="J8" s="283">
        <v>30</v>
      </c>
      <c r="K8" s="148"/>
    </row>
    <row r="9" spans="2:11" ht="15.75">
      <c r="D9" s="66"/>
      <c r="I9" s="149" t="s">
        <v>165</v>
      </c>
      <c r="J9" s="147">
        <v>1890</v>
      </c>
      <c r="K9" s="148"/>
    </row>
    <row r="10" spans="2:11" ht="30" customHeight="1">
      <c r="B10" s="346" t="s">
        <v>299</v>
      </c>
      <c r="C10" s="346"/>
      <c r="D10" s="346"/>
      <c r="E10" s="346"/>
      <c r="I10" s="147" t="s">
        <v>166</v>
      </c>
      <c r="J10" s="147">
        <v>290.8</v>
      </c>
      <c r="K10" s="148"/>
    </row>
    <row r="11" spans="2:11" ht="15" customHeight="1">
      <c r="B11" s="347" t="s">
        <v>130</v>
      </c>
      <c r="C11" s="347"/>
      <c r="D11" s="347"/>
      <c r="E11" s="347"/>
      <c r="I11" s="147" t="s">
        <v>167</v>
      </c>
      <c r="J11" s="147">
        <v>349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9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388.3</v>
      </c>
      <c r="D14" s="77" t="s">
        <v>61</v>
      </c>
      <c r="I14" s="147" t="s">
        <v>170</v>
      </c>
      <c r="J14" s="147">
        <v>581</v>
      </c>
      <c r="K14" s="148"/>
    </row>
    <row r="15" spans="2:11" s="6" customFormat="1" ht="15.75">
      <c r="B15" s="86" t="s">
        <v>3</v>
      </c>
      <c r="C15" s="87">
        <v>15</v>
      </c>
      <c r="D15" s="88"/>
      <c r="E15" s="89"/>
      <c r="I15" s="147" t="s">
        <v>171</v>
      </c>
      <c r="J15" s="6">
        <v>915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8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40.803749404900003</v>
      </c>
      <c r="K17" s="148"/>
    </row>
    <row r="18" spans="2:11">
      <c r="B18" s="93" t="s">
        <v>7</v>
      </c>
      <c r="C18" s="198">
        <f>C14*14.28*12</f>
        <v>66539.088000000003</v>
      </c>
      <c r="D18" s="155" t="s">
        <v>779</v>
      </c>
      <c r="E18" s="199" t="s">
        <v>99</v>
      </c>
      <c r="I18" s="147" t="s">
        <v>174</v>
      </c>
      <c r="J18" s="147">
        <v>4.45</v>
      </c>
      <c r="K18" s="148"/>
    </row>
    <row r="19" spans="2:11" ht="38.25">
      <c r="B19" s="94" t="s">
        <v>8</v>
      </c>
      <c r="C19" s="286">
        <f>30*(211.42*6*1.45/12+226.93*6*1.45/12)*1.18</f>
        <v>11250.252749999998</v>
      </c>
      <c r="D19" s="287" t="s">
        <v>769</v>
      </c>
      <c r="E19" s="200"/>
      <c r="I19" s="147" t="s">
        <v>175</v>
      </c>
      <c r="J19" s="150">
        <v>0.3</v>
      </c>
      <c r="K19" s="154">
        <f>(J15/3+J14)/2920</f>
        <v>0.30342465753424658</v>
      </c>
    </row>
    <row r="20" spans="2:11">
      <c r="B20" s="96" t="s">
        <v>9</v>
      </c>
      <c r="C20" s="95">
        <f>C21</f>
        <v>2806.2609959999995</v>
      </c>
      <c r="D20" s="97"/>
      <c r="E20" s="200"/>
      <c r="I20" s="151" t="s">
        <v>176</v>
      </c>
      <c r="J20" s="151"/>
      <c r="K20" s="154">
        <f>J7/144</f>
        <v>5.5555555555555552E-2</v>
      </c>
    </row>
    <row r="21" spans="2:11">
      <c r="B21" s="78" t="s">
        <v>92</v>
      </c>
      <c r="C21" s="98">
        <f>C22+C23</f>
        <v>2806.2609959999995</v>
      </c>
      <c r="D21" s="99"/>
      <c r="E21" s="200"/>
      <c r="I21" s="152" t="s">
        <v>177</v>
      </c>
      <c r="J21" s="153"/>
      <c r="K21" s="154">
        <f>J27/1180</f>
        <v>0</v>
      </c>
    </row>
    <row r="22" spans="2:11">
      <c r="B22" s="100" t="s">
        <v>63</v>
      </c>
      <c r="C22" s="178">
        <f>15*14.28*12</f>
        <v>2570.3999999999996</v>
      </c>
      <c r="D22" s="181" t="s">
        <v>780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288">
        <f>0.07*(232.8*1.18*6+243.11*1.18*6)</f>
        <v>235.86099600000003</v>
      </c>
      <c r="D23" s="289" t="s">
        <v>368</v>
      </c>
      <c r="E23" s="200" t="s">
        <v>99</v>
      </c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69345.348996000001</v>
      </c>
      <c r="D24" s="83"/>
      <c r="E24" s="200"/>
      <c r="I24" s="148" t="s">
        <v>180</v>
      </c>
      <c r="J24" s="148"/>
      <c r="K24" s="154">
        <f>J30/1180</f>
        <v>0</v>
      </c>
    </row>
    <row r="25" spans="2:11">
      <c r="B25" s="104" t="s">
        <v>11</v>
      </c>
      <c r="C25" s="65">
        <f>C26+C27+C28+C29+C30+C31</f>
        <v>0</v>
      </c>
      <c r="D25" s="83"/>
      <c r="E25" s="200"/>
      <c r="I25" s="74" t="s">
        <v>181</v>
      </c>
      <c r="J25" s="74">
        <v>388.3</v>
      </c>
      <c r="K25" s="148"/>
    </row>
    <row r="26" spans="2:11">
      <c r="B26" s="78" t="s">
        <v>12</v>
      </c>
      <c r="C26" s="65">
        <f>34.98*12*0</f>
        <v>0</v>
      </c>
      <c r="D26" s="83" t="s">
        <v>13</v>
      </c>
      <c r="E26" s="200"/>
    </row>
    <row r="27" spans="2:11">
      <c r="B27" s="78" t="s">
        <v>14</v>
      </c>
      <c r="C27" s="65">
        <f>137.5*12*0</f>
        <v>0</v>
      </c>
      <c r="D27" s="83" t="s">
        <v>15</v>
      </c>
      <c r="E27" s="200"/>
    </row>
    <row r="28" spans="2:11">
      <c r="B28" s="78" t="s">
        <v>16</v>
      </c>
      <c r="C28" s="65">
        <f>123.75*12*0</f>
        <v>0</v>
      </c>
      <c r="D28" s="83" t="s">
        <v>17</v>
      </c>
      <c r="E28" s="200"/>
    </row>
    <row r="29" spans="2:11">
      <c r="B29" s="78" t="s">
        <v>18</v>
      </c>
      <c r="C29" s="65">
        <f>123.75*12*0</f>
        <v>0</v>
      </c>
      <c r="D29" s="83" t="s">
        <v>17</v>
      </c>
      <c r="E29" s="200"/>
    </row>
    <row r="30" spans="2:11">
      <c r="B30" s="78" t="s">
        <v>19</v>
      </c>
      <c r="C30" s="65">
        <f>150*12*0</f>
        <v>0</v>
      </c>
      <c r="D30" s="83" t="s">
        <v>20</v>
      </c>
      <c r="E30" s="200"/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  <c r="G32" s="62" t="s">
        <v>22</v>
      </c>
    </row>
    <row r="33" spans="2:8" ht="18.75">
      <c r="B33" s="105" t="s">
        <v>23</v>
      </c>
      <c r="C33" s="106">
        <f>C24+C25+C32</f>
        <v>69345.348996000001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(0.3*(3565+200)*1.5*1.15*1.083*1.302*3)+(0.3*(3708+200)*1.5*1.15*1.083*1.302*9)+(0.1*581*12)</f>
        <v>34604.595305384988</v>
      </c>
      <c r="D36" s="291" t="s">
        <v>781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30*(360.84*0.025*3+362.52*0.025*3+382.25*0.025*6)</f>
        <v>3347.6849999999999</v>
      </c>
      <c r="D39" s="293" t="s">
        <v>771</v>
      </c>
      <c r="E39" s="199" t="s">
        <v>101</v>
      </c>
      <c r="H39" s="3"/>
    </row>
    <row r="40" spans="2:8" ht="15.75">
      <c r="B40" s="113" t="s">
        <v>31</v>
      </c>
      <c r="C40" s="294">
        <f>(16.86+17.53)*8</f>
        <v>275.12</v>
      </c>
      <c r="D40" s="295" t="s">
        <v>724</v>
      </c>
      <c r="E40" s="200" t="s">
        <v>102</v>
      </c>
      <c r="H40" s="3"/>
    </row>
    <row r="41" spans="2:8" ht="36.75" customHeight="1">
      <c r="B41" s="113" t="s">
        <v>32</v>
      </c>
      <c r="C41" s="294">
        <f>(49.72+51.71)*2*8</f>
        <v>1622.88</v>
      </c>
      <c r="D41" s="295" t="s">
        <v>725</v>
      </c>
      <c r="E41" s="200" t="s">
        <v>103</v>
      </c>
      <c r="H41" s="3"/>
    </row>
    <row r="42" spans="2:8" ht="15.75">
      <c r="B42" s="113" t="s">
        <v>33</v>
      </c>
      <c r="C42" s="185">
        <f>0.26*388.3*12</f>
        <v>1211.4960000000001</v>
      </c>
      <c r="D42" s="155" t="s">
        <v>291</v>
      </c>
      <c r="E42" s="200" t="s">
        <v>99</v>
      </c>
      <c r="H42" s="3"/>
    </row>
    <row r="43" spans="2:8" ht="15.75">
      <c r="B43" s="115" t="s">
        <v>34</v>
      </c>
      <c r="C43" s="185">
        <f>1.02*388.3*4</f>
        <v>1584.2640000000001</v>
      </c>
      <c r="D43" s="155" t="s">
        <v>292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(695.13*6+722.94*6)*0</f>
        <v>0</v>
      </c>
      <c r="D45" s="297" t="s">
        <v>321</v>
      </c>
      <c r="E45" s="200" t="s">
        <v>99</v>
      </c>
      <c r="H45" s="3"/>
    </row>
    <row r="46" spans="2:8" ht="15.75" hidden="1">
      <c r="B46" s="94" t="s">
        <v>182</v>
      </c>
      <c r="C46" s="70">
        <f>616.88*0</f>
        <v>0</v>
      </c>
      <c r="D46" s="69" t="s">
        <v>204</v>
      </c>
      <c r="E46" s="200" t="s">
        <v>187</v>
      </c>
      <c r="H46" s="3"/>
    </row>
    <row r="47" spans="2:8" ht="50.25" customHeight="1">
      <c r="B47" s="94" t="s">
        <v>40</v>
      </c>
      <c r="C47" s="299">
        <f>30*(211.42*6*1.45/12+226.93*6*1.45/12)</f>
        <v>9534.1124999999993</v>
      </c>
      <c r="D47" s="297" t="s">
        <v>772</v>
      </c>
      <c r="E47" s="200" t="s">
        <v>101</v>
      </c>
      <c r="H47" s="3"/>
    </row>
    <row r="48" spans="2:8" ht="25.5">
      <c r="B48" s="94" t="s">
        <v>41</v>
      </c>
      <c r="C48" s="296">
        <f>0.07*(232.8*6+243.11*6)</f>
        <v>199.88220000000001</v>
      </c>
      <c r="D48" s="300" t="s">
        <v>625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52380.035005384991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(4.45*96.4189*3)+(4.45*100.2864*9)+(1.78*(C14+C15)*12)</f>
        <v>13918.150635000002</v>
      </c>
      <c r="D51" s="301" t="s">
        <v>782</v>
      </c>
      <c r="E51" s="204"/>
    </row>
    <row r="52" spans="2:5">
      <c r="B52" s="115" t="s">
        <v>45</v>
      </c>
      <c r="C52" s="65">
        <f>13.69*349</f>
        <v>4777.8099999999995</v>
      </c>
      <c r="D52" s="83" t="s">
        <v>783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784</v>
      </c>
      <c r="E53" s="200"/>
    </row>
    <row r="54" spans="2:5" ht="51">
      <c r="B54" s="113" t="s">
        <v>46</v>
      </c>
      <c r="C54" s="294">
        <f>(632.04+251.07/3)*1890/1000</f>
        <v>1352.7296999999999</v>
      </c>
      <c r="D54" s="301" t="s">
        <v>785</v>
      </c>
      <c r="E54" s="94" t="s">
        <v>105</v>
      </c>
    </row>
    <row r="55" spans="2:5" ht="51">
      <c r="B55" s="121" t="s">
        <v>47</v>
      </c>
      <c r="C55" s="302">
        <f>((40.8/12*3*96.4189)+(40.8/12*9*100.2864))+((40.8/12*3*96.4189)+(40.8/12*9*100.2864))/1.302*25%</f>
        <v>4830.3158481105984</v>
      </c>
      <c r="D55" s="301" t="s">
        <v>786</v>
      </c>
      <c r="E55" s="200"/>
    </row>
    <row r="56" spans="2:5" ht="15.75">
      <c r="B56" s="122" t="s">
        <v>48</v>
      </c>
      <c r="C56" s="117">
        <f>C51+C52+C53+C54+C55</f>
        <v>24879.0061831106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3.05*(C14+15)</f>
        <v>1230.0650000000001</v>
      </c>
      <c r="D64" s="126" t="s">
        <v>787</v>
      </c>
      <c r="E64" s="200"/>
    </row>
    <row r="65" spans="2:8" ht="15.75">
      <c r="B65" s="130" t="s">
        <v>57</v>
      </c>
      <c r="C65" s="131">
        <f>1.49*(C14+15)</f>
        <v>600.91700000000003</v>
      </c>
      <c r="D65" s="131" t="s">
        <v>862</v>
      </c>
      <c r="E65" s="200"/>
      <c r="H65" s="4"/>
    </row>
    <row r="66" spans="2:8">
      <c r="B66" s="78" t="s">
        <v>58</v>
      </c>
      <c r="C66" s="95">
        <f>(C49+C56)*0.341</f>
        <v>26345.333045276995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13675.777398857979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41852.092444134978</v>
      </c>
      <c r="D68" s="128"/>
      <c r="E68" s="200"/>
    </row>
    <row r="69" spans="2:8">
      <c r="B69" s="78" t="s">
        <v>59</v>
      </c>
      <c r="C69" s="95">
        <f>(C49+C56+C63+C68)*3%</f>
        <v>3573.3340089789167</v>
      </c>
      <c r="D69" s="126"/>
      <c r="E69" s="200"/>
    </row>
    <row r="70" spans="2:8" ht="15.75">
      <c r="B70" s="133" t="s">
        <v>23</v>
      </c>
      <c r="C70" s="134">
        <f>C49+C56+C63+C68+C69</f>
        <v>122684.46764160947</v>
      </c>
      <c r="D70" s="135"/>
      <c r="E70" s="200"/>
    </row>
    <row r="71" spans="2:8" ht="15.75">
      <c r="B71" s="133" t="s">
        <v>60</v>
      </c>
      <c r="C71" s="134">
        <f>C70*1.18</f>
        <v>144767.67181709918</v>
      </c>
      <c r="D71" s="135"/>
      <c r="E71" s="108"/>
    </row>
    <row r="72" spans="2:8" ht="15.75">
      <c r="B72" s="136"/>
      <c r="C72" s="137">
        <f>C33-C71</f>
        <v>-75422.32282109918</v>
      </c>
      <c r="D72" s="138"/>
      <c r="E72" s="200"/>
    </row>
    <row r="73" spans="2:8" ht="30">
      <c r="B73" s="159" t="s">
        <v>106</v>
      </c>
      <c r="C73" s="188">
        <f>C71/(C14+C15)/12</f>
        <v>29.913148156273078</v>
      </c>
      <c r="D73" s="189" t="s">
        <v>144</v>
      </c>
      <c r="E73" s="108"/>
    </row>
    <row r="74" spans="2:8">
      <c r="B74" s="161"/>
      <c r="C74" s="190"/>
      <c r="D74" s="191"/>
      <c r="E74" s="205"/>
    </row>
    <row r="75" spans="2:8" ht="20.25" customHeight="1">
      <c r="B75" s="345" t="s">
        <v>97</v>
      </c>
      <c r="C75" s="345"/>
      <c r="D75" s="345"/>
      <c r="E75" s="303"/>
    </row>
    <row r="76" spans="2:8" ht="33.75" customHeight="1">
      <c r="B76" s="348" t="s">
        <v>334</v>
      </c>
      <c r="C76" s="348"/>
      <c r="D76" s="348"/>
      <c r="E76" s="348"/>
    </row>
    <row r="77" spans="2:8" ht="33" customHeight="1">
      <c r="B77" s="348" t="s">
        <v>335</v>
      </c>
      <c r="C77" s="348"/>
      <c r="D77" s="348"/>
      <c r="E77" s="348"/>
    </row>
    <row r="78" spans="2:8" ht="24" customHeight="1">
      <c r="B78" s="163"/>
      <c r="C78" s="192"/>
      <c r="D78" s="193"/>
      <c r="E78" s="174"/>
    </row>
    <row r="79" spans="2:8">
      <c r="B79" s="164"/>
      <c r="C79" s="194"/>
      <c r="D79" s="195"/>
      <c r="E79" s="174"/>
    </row>
    <row r="80" spans="2:8">
      <c r="B80" s="344" t="s">
        <v>213</v>
      </c>
      <c r="C80" s="344"/>
      <c r="D80" s="344"/>
      <c r="E80" s="17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0:D80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B3:K101"/>
  <sheetViews>
    <sheetView topLeftCell="A61" workbookViewId="0">
      <selection activeCell="C69" sqref="C69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85546875" style="9" customWidth="1"/>
    <col min="6" max="6" width="4.42578125" style="62" customWidth="1"/>
    <col min="7" max="7" width="12.140625" style="62" hidden="1" customWidth="1"/>
    <col min="8" max="8" width="0" style="62" hidden="1" customWidth="1"/>
    <col min="9" max="9" width="15.7109375" style="62" hidden="1" customWidth="1"/>
    <col min="10" max="14" width="0" style="62" hidden="1" customWidth="1"/>
    <col min="15" max="16384" width="9.140625" style="62"/>
  </cols>
  <sheetData>
    <row r="3" spans="2:11" ht="15.75">
      <c r="D3" s="176" t="s">
        <v>0</v>
      </c>
      <c r="E3" s="174"/>
    </row>
    <row r="4" spans="2:11" ht="15.75">
      <c r="D4" s="176" t="s">
        <v>298</v>
      </c>
      <c r="E4" s="174"/>
    </row>
    <row r="5" spans="2:11" ht="15.75">
      <c r="D5" s="176" t="s">
        <v>206</v>
      </c>
      <c r="E5" s="174"/>
      <c r="I5" s="146" t="s">
        <v>160</v>
      </c>
      <c r="J5" s="283">
        <v>14.83</v>
      </c>
      <c r="K5" s="148" t="s">
        <v>186</v>
      </c>
    </row>
    <row r="6" spans="2:11" ht="15.75">
      <c r="D6" s="176"/>
      <c r="E6" s="174"/>
      <c r="I6" s="147" t="s">
        <v>162</v>
      </c>
      <c r="J6" s="147">
        <v>1512.8</v>
      </c>
      <c r="K6" s="148"/>
    </row>
    <row r="7" spans="2:11" ht="15.75">
      <c r="D7" s="176" t="s">
        <v>297</v>
      </c>
      <c r="E7" s="174"/>
      <c r="I7" s="147" t="s">
        <v>163</v>
      </c>
      <c r="J7" s="147">
        <v>34</v>
      </c>
      <c r="K7" s="148"/>
    </row>
    <row r="8" spans="2:11" ht="15.75">
      <c r="D8" s="66"/>
      <c r="I8" s="147" t="s">
        <v>164</v>
      </c>
      <c r="J8" s="283">
        <v>72</v>
      </c>
      <c r="K8" s="148"/>
    </row>
    <row r="9" spans="2:11" ht="15.75">
      <c r="D9" s="66"/>
      <c r="I9" s="149" t="s">
        <v>165</v>
      </c>
      <c r="J9" s="147">
        <v>6426</v>
      </c>
      <c r="K9" s="148"/>
    </row>
    <row r="10" spans="2:11" ht="30" customHeight="1">
      <c r="B10" s="346" t="s">
        <v>299</v>
      </c>
      <c r="C10" s="346"/>
      <c r="D10" s="346"/>
      <c r="E10" s="346"/>
      <c r="I10" s="147" t="s">
        <v>166</v>
      </c>
      <c r="J10" s="147">
        <v>87.7</v>
      </c>
      <c r="K10" s="148"/>
    </row>
    <row r="11" spans="2:11" ht="15" customHeight="1">
      <c r="B11" s="347" t="s">
        <v>131</v>
      </c>
      <c r="C11" s="347"/>
      <c r="D11" s="347"/>
      <c r="E11" s="347"/>
      <c r="I11" s="147" t="s">
        <v>167</v>
      </c>
      <c r="J11" s="147">
        <v>918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9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1469.8</v>
      </c>
      <c r="D14" s="77" t="s">
        <v>61</v>
      </c>
      <c r="I14" s="147" t="s">
        <v>170</v>
      </c>
      <c r="J14" s="147">
        <v>1153</v>
      </c>
      <c r="K14" s="148"/>
    </row>
    <row r="15" spans="2:11" s="6" customFormat="1" ht="15.75">
      <c r="B15" s="86" t="s">
        <v>3</v>
      </c>
      <c r="C15" s="87">
        <f>41.6+60.7</f>
        <v>102.30000000000001</v>
      </c>
      <c r="D15" s="88"/>
      <c r="E15" s="89"/>
      <c r="I15" s="147" t="s">
        <v>171</v>
      </c>
      <c r="J15" s="6">
        <v>2645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/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172.62936013999999</v>
      </c>
      <c r="K17" s="148"/>
    </row>
    <row r="18" spans="2:11">
      <c r="B18" s="93" t="s">
        <v>7</v>
      </c>
      <c r="C18" s="198">
        <f>C14*14.83*12</f>
        <v>261565.60799999998</v>
      </c>
      <c r="D18" s="155" t="s">
        <v>788</v>
      </c>
      <c r="E18" s="199" t="s">
        <v>99</v>
      </c>
      <c r="I18" s="147" t="s">
        <v>174</v>
      </c>
      <c r="J18" s="147">
        <v>5.08</v>
      </c>
      <c r="K18" s="148"/>
    </row>
    <row r="19" spans="2:11" ht="38.25">
      <c r="B19" s="94" t="s">
        <v>8</v>
      </c>
      <c r="C19" s="325">
        <f>72*(211.42*6*1.45/12+226.93*6*1.45/12)*1.18</f>
        <v>27000.606599999999</v>
      </c>
      <c r="D19" s="326" t="s">
        <v>789</v>
      </c>
      <c r="E19" s="200"/>
      <c r="I19" s="147" t="s">
        <v>175</v>
      </c>
      <c r="J19" s="150">
        <v>0.7</v>
      </c>
      <c r="K19" s="154">
        <f>(J15/3+J14)/2920</f>
        <v>0.69680365296803648</v>
      </c>
    </row>
    <row r="20" spans="2:11">
      <c r="B20" s="96" t="s">
        <v>9</v>
      </c>
      <c r="C20" s="95">
        <f>C21</f>
        <v>9559.5793919999996</v>
      </c>
      <c r="D20" s="97"/>
      <c r="E20" s="200"/>
      <c r="I20" s="151" t="s">
        <v>176</v>
      </c>
      <c r="J20" s="151"/>
      <c r="K20" s="154">
        <f>J7/144</f>
        <v>0.2361111111111111</v>
      </c>
    </row>
    <row r="21" spans="2:11">
      <c r="B21" s="78" t="s">
        <v>790</v>
      </c>
      <c r="C21" s="98">
        <f>C22+C23</f>
        <v>9559.5793919999996</v>
      </c>
      <c r="D21" s="99"/>
      <c r="E21" s="200"/>
      <c r="I21" s="152" t="s">
        <v>177</v>
      </c>
      <c r="J21" s="153"/>
      <c r="K21" s="154">
        <f>J30/1180</f>
        <v>0</v>
      </c>
    </row>
    <row r="22" spans="2:11">
      <c r="B22" s="100" t="s">
        <v>63</v>
      </c>
      <c r="C22" s="178">
        <f>41.6*14.83*12</f>
        <v>7403.1360000000004</v>
      </c>
      <c r="D22" s="181" t="s">
        <v>791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327">
        <f>0.64*(232.8*1.18*6+243.11*1.18*6)</f>
        <v>2156.4433920000001</v>
      </c>
      <c r="D23" s="328" t="s">
        <v>792</v>
      </c>
      <c r="E23" s="200" t="s">
        <v>99</v>
      </c>
      <c r="I23" s="74" t="s">
        <v>179</v>
      </c>
      <c r="J23" s="74"/>
      <c r="K23" s="148"/>
    </row>
    <row r="24" spans="2:11" s="74" customFormat="1">
      <c r="B24" s="78" t="s">
        <v>205</v>
      </c>
      <c r="C24" s="98">
        <f>C25+C26</f>
        <v>15384.614208000001</v>
      </c>
      <c r="D24" s="99"/>
      <c r="E24" s="200"/>
      <c r="I24" s="148" t="s">
        <v>180</v>
      </c>
      <c r="J24" s="148"/>
      <c r="K24" s="154">
        <f>J33/1180</f>
        <v>0</v>
      </c>
    </row>
    <row r="25" spans="2:11" s="74" customFormat="1">
      <c r="B25" s="100" t="s">
        <v>63</v>
      </c>
      <c r="C25" s="178">
        <f>60.7*14.83*12</f>
        <v>10802.172</v>
      </c>
      <c r="D25" s="181" t="s">
        <v>793</v>
      </c>
      <c r="E25" s="200" t="s">
        <v>99</v>
      </c>
      <c r="I25" s="74" t="s">
        <v>181</v>
      </c>
      <c r="J25" s="74">
        <v>87.7</v>
      </c>
      <c r="K25" s="148"/>
    </row>
    <row r="26" spans="2:11" s="74" customFormat="1" ht="25.5">
      <c r="B26" s="100" t="s">
        <v>64</v>
      </c>
      <c r="C26" s="327">
        <f>1.36*(232.8*1.18*6+243.11*1.18*6)</f>
        <v>4582.4422080000004</v>
      </c>
      <c r="D26" s="328" t="s">
        <v>470</v>
      </c>
      <c r="E26" s="200" t="s">
        <v>99</v>
      </c>
      <c r="K26" s="148"/>
    </row>
    <row r="27" spans="2:11" ht="15.75">
      <c r="B27" s="103" t="s">
        <v>10</v>
      </c>
      <c r="C27" s="65">
        <f>C18+C20</f>
        <v>271125.18739199999</v>
      </c>
      <c r="D27" s="83"/>
      <c r="E27" s="200"/>
      <c r="I27" s="148"/>
      <c r="J27" s="148"/>
      <c r="K27" s="154"/>
    </row>
    <row r="28" spans="2:11">
      <c r="B28" s="104" t="s">
        <v>11</v>
      </c>
      <c r="C28" s="65">
        <f>C29+C30+C31+C32+C33+C34</f>
        <v>419.76</v>
      </c>
      <c r="D28" s="83"/>
      <c r="E28" s="200"/>
      <c r="I28" s="74"/>
      <c r="J28" s="74"/>
      <c r="K28" s="148"/>
    </row>
    <row r="29" spans="2:11">
      <c r="B29" s="78" t="s">
        <v>12</v>
      </c>
      <c r="C29" s="65">
        <f>34.98*12</f>
        <v>419.76</v>
      </c>
      <c r="D29" s="83" t="s">
        <v>13</v>
      </c>
      <c r="E29" s="200" t="s">
        <v>99</v>
      </c>
    </row>
    <row r="30" spans="2:11">
      <c r="B30" s="78" t="s">
        <v>14</v>
      </c>
      <c r="C30" s="65">
        <f>137.5*12*0</f>
        <v>0</v>
      </c>
      <c r="D30" s="83" t="s">
        <v>15</v>
      </c>
      <c r="E30" s="200"/>
    </row>
    <row r="31" spans="2:11">
      <c r="B31" s="78" t="s">
        <v>16</v>
      </c>
      <c r="C31" s="65">
        <f>123.75*12*0</f>
        <v>0</v>
      </c>
      <c r="D31" s="83" t="s">
        <v>17</v>
      </c>
      <c r="E31" s="200"/>
    </row>
    <row r="32" spans="2:11">
      <c r="B32" s="78" t="s">
        <v>18</v>
      </c>
      <c r="C32" s="65">
        <f>123.75*12*0</f>
        <v>0</v>
      </c>
      <c r="D32" s="83" t="s">
        <v>17</v>
      </c>
      <c r="E32" s="200"/>
    </row>
    <row r="33" spans="2:8">
      <c r="B33" s="78" t="s">
        <v>19</v>
      </c>
      <c r="C33" s="65">
        <f>150*12*0</f>
        <v>0</v>
      </c>
      <c r="D33" s="83" t="s">
        <v>20</v>
      </c>
      <c r="E33" s="200"/>
    </row>
    <row r="34" spans="2:8">
      <c r="B34" s="78" t="s">
        <v>69</v>
      </c>
      <c r="C34" s="65">
        <f>137.5*12*0</f>
        <v>0</v>
      </c>
      <c r="D34" s="83" t="s">
        <v>15</v>
      </c>
      <c r="E34" s="200"/>
    </row>
    <row r="35" spans="2:8">
      <c r="B35" s="104" t="s">
        <v>21</v>
      </c>
      <c r="C35" s="65">
        <v>0</v>
      </c>
      <c r="D35" s="83"/>
      <c r="E35" s="200"/>
    </row>
    <row r="36" spans="2:8" ht="18.75">
      <c r="B36" s="105" t="s">
        <v>23</v>
      </c>
      <c r="C36" s="106">
        <f>C27+C28+C35</f>
        <v>271544.947392</v>
      </c>
      <c r="D36" s="83"/>
      <c r="E36" s="108"/>
    </row>
    <row r="37" spans="2:8" ht="15.75">
      <c r="B37" s="91" t="s">
        <v>24</v>
      </c>
      <c r="C37" s="109" t="s">
        <v>5</v>
      </c>
      <c r="D37" s="202" t="s">
        <v>25</v>
      </c>
      <c r="E37" s="200"/>
    </row>
    <row r="38" spans="2:8" ht="15.75">
      <c r="B38" s="111" t="s">
        <v>26</v>
      </c>
      <c r="C38" s="95"/>
      <c r="D38" s="121"/>
      <c r="E38" s="200"/>
      <c r="H38" s="2"/>
    </row>
    <row r="39" spans="2:8" ht="51">
      <c r="B39" s="113" t="s">
        <v>27</v>
      </c>
      <c r="C39" s="329">
        <f>(0.7*(3565+200)*1.5*1.15*1.083*1.302*3)+(0.7*(3708+200)*1.5*1.15*1.083*1.302*9)+(0.1*1153*12)</f>
        <v>80500.855712564982</v>
      </c>
      <c r="D39" s="330" t="s">
        <v>794</v>
      </c>
      <c r="E39" s="200" t="s">
        <v>100</v>
      </c>
      <c r="H39" s="3"/>
    </row>
    <row r="40" spans="2:8" ht="15.75">
      <c r="B40" s="113" t="s">
        <v>28</v>
      </c>
      <c r="C40" s="183"/>
      <c r="D40" s="184"/>
      <c r="E40" s="200"/>
      <c r="H40" s="3"/>
    </row>
    <row r="41" spans="2:8" ht="15.75">
      <c r="B41" s="113" t="s">
        <v>29</v>
      </c>
      <c r="C41" s="183"/>
      <c r="D41" s="184"/>
      <c r="E41" s="200"/>
      <c r="H41" s="3"/>
    </row>
    <row r="42" spans="2:8" s="7" customFormat="1" ht="51">
      <c r="B42" s="113" t="s">
        <v>30</v>
      </c>
      <c r="C42" s="331">
        <f>72*(360.84*0.025*3+362.52*0.025*3+382.25*0.025*6)</f>
        <v>8034.4440000000004</v>
      </c>
      <c r="D42" s="332" t="s">
        <v>795</v>
      </c>
      <c r="E42" s="199" t="s">
        <v>101</v>
      </c>
      <c r="H42" s="3"/>
    </row>
    <row r="43" spans="2:8" ht="15.75">
      <c r="B43" s="113" t="s">
        <v>31</v>
      </c>
      <c r="C43" s="333">
        <f>(16.86+17.53)*34</f>
        <v>1169.26</v>
      </c>
      <c r="D43" s="334" t="s">
        <v>796</v>
      </c>
      <c r="E43" s="200" t="s">
        <v>102</v>
      </c>
      <c r="H43" s="3"/>
    </row>
    <row r="44" spans="2:8" ht="36.75" customHeight="1">
      <c r="B44" s="113" t="s">
        <v>32</v>
      </c>
      <c r="C44" s="333">
        <f>(49.72+51.71)*2*34</f>
        <v>6897.2400000000007</v>
      </c>
      <c r="D44" s="334" t="s">
        <v>797</v>
      </c>
      <c r="E44" s="200" t="s">
        <v>103</v>
      </c>
      <c r="H44" s="3"/>
    </row>
    <row r="45" spans="2:8" ht="15.75">
      <c r="B45" s="113" t="s">
        <v>33</v>
      </c>
      <c r="C45" s="185">
        <f>0.26*87.7*12</f>
        <v>273.62400000000002</v>
      </c>
      <c r="D45" s="155" t="s">
        <v>293</v>
      </c>
      <c r="E45" s="200" t="s">
        <v>99</v>
      </c>
      <c r="H45" s="3"/>
    </row>
    <row r="46" spans="2:8" ht="15.75">
      <c r="B46" s="115" t="s">
        <v>34</v>
      </c>
      <c r="C46" s="185">
        <f>1.02*87.7*4</f>
        <v>357.81600000000003</v>
      </c>
      <c r="D46" s="155" t="s">
        <v>294</v>
      </c>
      <c r="E46" s="200" t="s">
        <v>103</v>
      </c>
      <c r="H46" s="3"/>
    </row>
    <row r="47" spans="2:8" ht="25.5">
      <c r="B47" s="94" t="s">
        <v>35</v>
      </c>
      <c r="C47" s="335">
        <f>(700.55*6+728.57*6)*0</f>
        <v>0</v>
      </c>
      <c r="D47" s="336" t="s">
        <v>320</v>
      </c>
      <c r="E47" s="200" t="s">
        <v>99</v>
      </c>
      <c r="H47" s="3"/>
    </row>
    <row r="48" spans="2:8" ht="25.5">
      <c r="B48" s="94" t="s">
        <v>70</v>
      </c>
      <c r="C48" s="337">
        <f>(695.13*6+722.94*6)*0</f>
        <v>0</v>
      </c>
      <c r="D48" s="336" t="s">
        <v>321</v>
      </c>
      <c r="E48" s="200" t="s">
        <v>99</v>
      </c>
      <c r="H48" s="3"/>
    </row>
    <row r="49" spans="2:8" ht="15.75" hidden="1">
      <c r="B49" s="94" t="s">
        <v>182</v>
      </c>
      <c r="C49" s="70">
        <f>616.88*0</f>
        <v>0</v>
      </c>
      <c r="D49" s="69" t="s">
        <v>204</v>
      </c>
      <c r="E49" s="200" t="s">
        <v>187</v>
      </c>
      <c r="H49" s="3"/>
    </row>
    <row r="50" spans="2:8" ht="50.25" customHeight="1">
      <c r="B50" s="94" t="s">
        <v>40</v>
      </c>
      <c r="C50" s="338">
        <f>72*(211.42*6*1.45/12+226.93*6*1.45/12)</f>
        <v>22881.87</v>
      </c>
      <c r="D50" s="336" t="s">
        <v>798</v>
      </c>
      <c r="E50" s="200" t="s">
        <v>101</v>
      </c>
      <c r="H50" s="3"/>
    </row>
    <row r="51" spans="2:8" ht="25.5">
      <c r="B51" s="94" t="s">
        <v>41</v>
      </c>
      <c r="C51" s="335">
        <f>2*(232.8*6+243.11*6)</f>
        <v>5710.92</v>
      </c>
      <c r="D51" s="339" t="s">
        <v>799</v>
      </c>
      <c r="E51" s="200" t="s">
        <v>101</v>
      </c>
      <c r="H51" s="3"/>
    </row>
    <row r="52" spans="2:8" ht="15.75">
      <c r="B52" s="116" t="s">
        <v>42</v>
      </c>
      <c r="C52" s="117">
        <f>C39+C40+C41+C42+C43+C44+C45+C46+C47+C48+C49+C50+C51</f>
        <v>125826.02971256498</v>
      </c>
      <c r="D52" s="118"/>
      <c r="E52" s="108"/>
    </row>
    <row r="53" spans="2:8">
      <c r="B53" s="113" t="s">
        <v>43</v>
      </c>
      <c r="C53" s="65"/>
      <c r="D53" s="83"/>
      <c r="E53" s="200"/>
    </row>
    <row r="54" spans="2:8" s="8" customFormat="1" ht="51">
      <c r="B54" s="119" t="s">
        <v>44</v>
      </c>
      <c r="C54" s="333">
        <f>(5.08*96.4189*3)+(5.08*100.2864*9)+(1.78*(C14+C15)*12)</f>
        <v>39634.574243999996</v>
      </c>
      <c r="D54" s="340" t="s">
        <v>800</v>
      </c>
      <c r="E54" s="204"/>
    </row>
    <row r="55" spans="2:8">
      <c r="B55" s="115" t="s">
        <v>45</v>
      </c>
      <c r="C55" s="65">
        <f>13.69*918</f>
        <v>12567.42</v>
      </c>
      <c r="D55" s="83" t="s">
        <v>801</v>
      </c>
      <c r="E55" s="200" t="s">
        <v>104</v>
      </c>
    </row>
    <row r="56" spans="2:8" ht="89.25">
      <c r="B56" s="172" t="s">
        <v>94</v>
      </c>
      <c r="C56" s="70">
        <f>17.51*(C14+C15)*0</f>
        <v>0</v>
      </c>
      <c r="D56" s="83" t="s">
        <v>803</v>
      </c>
      <c r="E56" s="200"/>
    </row>
    <row r="57" spans="2:8" ht="51">
      <c r="B57" s="113" t="s">
        <v>46</v>
      </c>
      <c r="C57" s="333">
        <f>(632.04+251.07/3)*6426/1000</f>
        <v>4599.2809800000005</v>
      </c>
      <c r="D57" s="340" t="s">
        <v>804</v>
      </c>
      <c r="E57" s="94" t="s">
        <v>105</v>
      </c>
    </row>
    <row r="58" spans="2:8" ht="51">
      <c r="B58" s="121" t="s">
        <v>47</v>
      </c>
      <c r="C58" s="341">
        <f>((172.63/12*3*96.4189)+(172.63/12*9*100.2864))+((172.63/12*3*96.4189)+(172.63/12*9*100.2864))/1.302*25%</f>
        <v>20437.681981846392</v>
      </c>
      <c r="D58" s="340" t="s">
        <v>805</v>
      </c>
      <c r="E58" s="200"/>
    </row>
    <row r="59" spans="2:8" ht="15.75">
      <c r="B59" s="122" t="s">
        <v>48</v>
      </c>
      <c r="C59" s="117">
        <f>C54+C55+C56+C57+C58</f>
        <v>77238.957205846382</v>
      </c>
      <c r="D59" s="118"/>
      <c r="E59" s="200"/>
    </row>
    <row r="60" spans="2:8">
      <c r="B60" s="121" t="s">
        <v>49</v>
      </c>
      <c r="C60" s="65"/>
      <c r="D60" s="83"/>
      <c r="E60" s="200"/>
    </row>
    <row r="61" spans="2:8" s="7" customFormat="1" ht="12.75">
      <c r="B61" s="123" t="s">
        <v>50</v>
      </c>
      <c r="C61" s="124"/>
      <c r="D61" s="125"/>
      <c r="E61" s="199"/>
    </row>
    <row r="62" spans="2:8">
      <c r="B62" s="121" t="s">
        <v>51</v>
      </c>
      <c r="C62" s="95"/>
      <c r="D62" s="126"/>
      <c r="E62" s="200"/>
    </row>
    <row r="63" spans="2:8">
      <c r="B63" s="121" t="s">
        <v>52</v>
      </c>
      <c r="C63" s="95"/>
      <c r="D63" s="126"/>
      <c r="E63" s="200"/>
    </row>
    <row r="64" spans="2:8">
      <c r="B64" s="121" t="s">
        <v>53</v>
      </c>
      <c r="C64" s="95"/>
      <c r="D64" s="126"/>
      <c r="E64" s="200"/>
    </row>
    <row r="65" spans="2:8">
      <c r="B65" s="121" t="s">
        <v>54</v>
      </c>
      <c r="C65" s="95"/>
      <c r="D65" s="126"/>
      <c r="E65" s="200"/>
    </row>
    <row r="66" spans="2:8" ht="15.75">
      <c r="B66" s="122" t="s">
        <v>55</v>
      </c>
      <c r="C66" s="127">
        <f>C61+C62</f>
        <v>0</v>
      </c>
      <c r="D66" s="128"/>
      <c r="E66" s="200"/>
    </row>
    <row r="67" spans="2:8">
      <c r="B67" s="129" t="s">
        <v>56</v>
      </c>
      <c r="C67" s="95">
        <f>3.05*(C14+C15)</f>
        <v>4794.9049999999997</v>
      </c>
      <c r="D67" s="126" t="s">
        <v>806</v>
      </c>
      <c r="E67" s="200"/>
    </row>
    <row r="68" spans="2:8" ht="15.75">
      <c r="B68" s="130" t="s">
        <v>57</v>
      </c>
      <c r="C68" s="131">
        <f>1.49*(C14+C15)</f>
        <v>2342.4289999999996</v>
      </c>
      <c r="D68" s="131" t="s">
        <v>863</v>
      </c>
      <c r="E68" s="200"/>
      <c r="H68" s="4"/>
    </row>
    <row r="69" spans="2:8">
      <c r="B69" s="78" t="s">
        <v>58</v>
      </c>
      <c r="C69" s="95">
        <f>(C52+C59)*0.341</f>
        <v>69245.16053917828</v>
      </c>
      <c r="D69" s="126" t="s">
        <v>331</v>
      </c>
      <c r="E69" s="200"/>
    </row>
    <row r="70" spans="2:8" ht="38.25">
      <c r="B70" s="78" t="s">
        <v>95</v>
      </c>
      <c r="C70" s="131">
        <f>(C52+C59+C69)*0.132</f>
        <v>35944.939464401832</v>
      </c>
      <c r="D70" s="126" t="s">
        <v>332</v>
      </c>
      <c r="E70" s="200" t="s">
        <v>99</v>
      </c>
    </row>
    <row r="71" spans="2:8" ht="15.75">
      <c r="B71" s="157" t="s">
        <v>96</v>
      </c>
      <c r="C71" s="127">
        <f>C67+C68+C69+C70</f>
        <v>112327.43400358011</v>
      </c>
      <c r="D71" s="128"/>
      <c r="E71" s="200"/>
    </row>
    <row r="72" spans="2:8">
      <c r="B72" s="78" t="s">
        <v>59</v>
      </c>
      <c r="C72" s="95">
        <f>(C52+C59+C66+C71)*3%</f>
        <v>9461.7726276597441</v>
      </c>
      <c r="D72" s="126"/>
      <c r="E72" s="200"/>
    </row>
    <row r="73" spans="2:8" ht="15.75">
      <c r="B73" s="133" t="s">
        <v>23</v>
      </c>
      <c r="C73" s="134">
        <f>C52+C59+C66+C71+C72</f>
        <v>324854.19354965119</v>
      </c>
      <c r="D73" s="135"/>
      <c r="E73" s="200"/>
    </row>
    <row r="74" spans="2:8" ht="15.75">
      <c r="B74" s="133" t="s">
        <v>60</v>
      </c>
      <c r="C74" s="134">
        <f>C73*1.18</f>
        <v>383327.94838858838</v>
      </c>
      <c r="D74" s="135"/>
      <c r="E74" s="108"/>
    </row>
    <row r="75" spans="2:8" ht="15.75">
      <c r="B75" s="136"/>
      <c r="C75" s="137">
        <f>C36-C74</f>
        <v>-111783.00099658838</v>
      </c>
      <c r="D75" s="138"/>
      <c r="E75" s="200"/>
    </row>
    <row r="76" spans="2:8" ht="30">
      <c r="B76" s="159" t="s">
        <v>106</v>
      </c>
      <c r="C76" s="188">
        <f>C74/(C14+C15)/12</f>
        <v>20.319315373735154</v>
      </c>
      <c r="D76" s="189" t="s">
        <v>802</v>
      </c>
      <c r="E76" s="108"/>
    </row>
    <row r="77" spans="2:8">
      <c r="B77" s="161"/>
      <c r="C77" s="190"/>
      <c r="D77" s="191"/>
      <c r="E77" s="205"/>
    </row>
    <row r="78" spans="2:8" ht="15" customHeight="1">
      <c r="B78" s="345" t="s">
        <v>97</v>
      </c>
      <c r="C78" s="345"/>
      <c r="D78" s="345"/>
      <c r="E78" s="303"/>
    </row>
    <row r="79" spans="2:8" ht="33.75" customHeight="1">
      <c r="B79" s="348" t="s">
        <v>334</v>
      </c>
      <c r="C79" s="348"/>
      <c r="D79" s="348"/>
      <c r="E79" s="348"/>
    </row>
    <row r="80" spans="2:8" ht="37.5" customHeight="1">
      <c r="B80" s="348" t="s">
        <v>335</v>
      </c>
      <c r="C80" s="348"/>
      <c r="D80" s="348"/>
      <c r="E80" s="348"/>
    </row>
    <row r="81" spans="2:5" ht="23.25" customHeight="1">
      <c r="B81" s="163"/>
      <c r="C81" s="192"/>
      <c r="D81" s="193"/>
      <c r="E81" s="145"/>
    </row>
    <row r="82" spans="2:5">
      <c r="B82" s="164"/>
      <c r="C82" s="194"/>
      <c r="D82" s="195"/>
      <c r="E82" s="145"/>
    </row>
    <row r="83" spans="2:5">
      <c r="B83" s="344" t="s">
        <v>208</v>
      </c>
      <c r="C83" s="344"/>
      <c r="D83" s="344"/>
      <c r="E83" s="145"/>
    </row>
    <row r="94" spans="2:5" s="9" customFormat="1">
      <c r="B94" s="47"/>
      <c r="C94" s="47"/>
      <c r="D94" s="47"/>
    </row>
    <row r="95" spans="2:5" s="9" customFormat="1">
      <c r="B95" s="47"/>
      <c r="C95" s="47"/>
      <c r="D95" s="47"/>
    </row>
    <row r="96" spans="2:5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  <row r="99" spans="2:4" s="9" customFormat="1">
      <c r="B99" s="47"/>
      <c r="C99" s="47"/>
      <c r="D99" s="47"/>
    </row>
    <row r="100" spans="2:4" s="9" customFormat="1">
      <c r="B100" s="47"/>
      <c r="C100" s="47"/>
      <c r="D100" s="47"/>
    </row>
    <row r="101" spans="2:4" s="9" customFormat="1">
      <c r="B101" s="47"/>
      <c r="C101" s="47"/>
      <c r="D101" s="47"/>
    </row>
  </sheetData>
  <mergeCells count="6">
    <mergeCell ref="B83:D83"/>
    <mergeCell ref="B78:D78"/>
    <mergeCell ref="B10:E10"/>
    <mergeCell ref="B11:E12"/>
    <mergeCell ref="B79:E79"/>
    <mergeCell ref="B80:E80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B3:K98"/>
  <sheetViews>
    <sheetView topLeftCell="A55" workbookViewId="0">
      <selection activeCell="C51" sqref="C51:C5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5703125" style="9" customWidth="1"/>
    <col min="6" max="6" width="5.140625" style="62" customWidth="1"/>
    <col min="7" max="7" width="10.7109375" style="62" customWidth="1"/>
    <col min="8" max="8" width="9.140625" style="62"/>
    <col min="9" max="9" width="17.5703125" style="62" customWidth="1"/>
    <col min="10" max="16384" width="9.140625" style="62"/>
  </cols>
  <sheetData>
    <row r="3" spans="2:11" ht="15.75">
      <c r="D3" s="176" t="s">
        <v>0</v>
      </c>
    </row>
    <row r="4" spans="2:11" ht="15.75">
      <c r="D4" s="176" t="s">
        <v>210</v>
      </c>
    </row>
    <row r="5" spans="2:11" ht="15.75">
      <c r="D5" s="176" t="s">
        <v>1</v>
      </c>
      <c r="I5" s="146" t="s">
        <v>160</v>
      </c>
      <c r="J5" s="283">
        <v>15.7</v>
      </c>
      <c r="K5" s="148" t="s">
        <v>186</v>
      </c>
    </row>
    <row r="6" spans="2:11" ht="15.75">
      <c r="D6" s="176"/>
      <c r="I6" s="147" t="s">
        <v>162</v>
      </c>
      <c r="J6" s="147">
        <v>1227</v>
      </c>
      <c r="K6" s="148"/>
    </row>
    <row r="7" spans="2:11" ht="15.75">
      <c r="D7" s="176" t="s">
        <v>297</v>
      </c>
      <c r="I7" s="147" t="s">
        <v>163</v>
      </c>
      <c r="J7" s="147">
        <v>31</v>
      </c>
      <c r="K7" s="148"/>
    </row>
    <row r="8" spans="2:11" ht="15.75">
      <c r="D8" s="66"/>
      <c r="I8" s="147" t="s">
        <v>164</v>
      </c>
      <c r="J8" s="283">
        <v>72</v>
      </c>
      <c r="K8" s="148"/>
    </row>
    <row r="9" spans="2:11" ht="15.75">
      <c r="D9" s="66"/>
      <c r="I9" s="149" t="s">
        <v>165</v>
      </c>
      <c r="J9" s="147">
        <v>5015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0</v>
      </c>
      <c r="K10" s="148"/>
    </row>
    <row r="11" spans="2:11" ht="15" customHeight="1">
      <c r="B11" s="347" t="s">
        <v>132</v>
      </c>
      <c r="C11" s="347"/>
      <c r="D11" s="347"/>
      <c r="E11" s="347"/>
      <c r="I11" s="147" t="s">
        <v>167</v>
      </c>
      <c r="J11" s="147">
        <v>564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9"/>
      <c r="C13" s="282"/>
      <c r="D13" s="282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1227.7</v>
      </c>
      <c r="D14" s="77" t="s">
        <v>61</v>
      </c>
      <c r="I14" s="147" t="s">
        <v>170</v>
      </c>
      <c r="J14" s="147">
        <v>575</v>
      </c>
      <c r="K14" s="148"/>
    </row>
    <row r="15" spans="2:11" s="6" customFormat="1" ht="15.75">
      <c r="B15" s="86" t="s">
        <v>3</v>
      </c>
      <c r="C15" s="87">
        <v>42.3</v>
      </c>
      <c r="D15" s="88"/>
      <c r="E15" s="89"/>
      <c r="I15" s="147" t="s">
        <v>171</v>
      </c>
      <c r="J15" s="6">
        <v>9903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/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40.81</v>
      </c>
      <c r="K17" s="148"/>
    </row>
    <row r="18" spans="2:11">
      <c r="B18" s="93" t="s">
        <v>7</v>
      </c>
      <c r="C18" s="198">
        <f>C14*15.7*12</f>
        <v>231298.68</v>
      </c>
      <c r="D18" s="155" t="s">
        <v>807</v>
      </c>
      <c r="E18" s="199" t="s">
        <v>99</v>
      </c>
      <c r="I18" s="147" t="s">
        <v>174</v>
      </c>
      <c r="J18" s="147">
        <v>4.45</v>
      </c>
      <c r="K18" s="148"/>
    </row>
    <row r="19" spans="2:11" ht="38.25">
      <c r="B19" s="94" t="s">
        <v>8</v>
      </c>
      <c r="C19" s="286">
        <f>72*(211.42*6*1.45/12+226.93*6*1.45/12)*1.18</f>
        <v>27000.606599999999</v>
      </c>
      <c r="D19" s="287" t="s">
        <v>789</v>
      </c>
      <c r="E19" s="200"/>
      <c r="I19" s="147" t="s">
        <v>175</v>
      </c>
      <c r="J19" s="150">
        <v>1.33</v>
      </c>
      <c r="K19" s="154">
        <f>(J15/3+J14)/2920</f>
        <v>1.3273972602739725</v>
      </c>
    </row>
    <row r="20" spans="2:11">
      <c r="B20" s="96" t="s">
        <v>9</v>
      </c>
      <c r="C20" s="95">
        <f>C21</f>
        <v>9822.5135399999999</v>
      </c>
      <c r="D20" s="97"/>
      <c r="E20" s="200"/>
      <c r="I20" s="151" t="s">
        <v>176</v>
      </c>
      <c r="J20" s="151"/>
      <c r="K20" s="154">
        <f>J7/144</f>
        <v>0.21527777777777779</v>
      </c>
    </row>
    <row r="21" spans="2:11">
      <c r="B21" s="78" t="s">
        <v>824</v>
      </c>
      <c r="C21" s="98">
        <f>C22+C23</f>
        <v>9822.5135399999999</v>
      </c>
      <c r="D21" s="99"/>
      <c r="E21" s="200"/>
      <c r="I21" s="152" t="s">
        <v>177</v>
      </c>
      <c r="J21" s="153"/>
      <c r="K21" s="154">
        <f>J30/1180</f>
        <v>0</v>
      </c>
    </row>
    <row r="22" spans="2:11">
      <c r="B22" s="100" t="s">
        <v>63</v>
      </c>
      <c r="C22" s="178">
        <f>42.3*15.7*12</f>
        <v>7969.3199999999988</v>
      </c>
      <c r="D22" s="181" t="s">
        <v>825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288">
        <f>0.55*(232.8*1.18*6+243.11*1.18*6)</f>
        <v>1853.1935400000002</v>
      </c>
      <c r="D23" s="289" t="s">
        <v>826</v>
      </c>
      <c r="E23" s="200" t="s">
        <v>99</v>
      </c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241121.19354000001</v>
      </c>
      <c r="D24" s="83"/>
      <c r="E24" s="200"/>
      <c r="I24" s="148" t="s">
        <v>180</v>
      </c>
      <c r="J24" s="148"/>
      <c r="K24" s="154">
        <f>J33/1180</f>
        <v>0</v>
      </c>
    </row>
    <row r="25" spans="2:11">
      <c r="B25" s="104" t="s">
        <v>11</v>
      </c>
      <c r="C25" s="65">
        <f>C26+C27+C28+C29+C30+C31</f>
        <v>3389.76</v>
      </c>
      <c r="D25" s="83"/>
      <c r="E25" s="200"/>
      <c r="I25" s="74" t="s">
        <v>181</v>
      </c>
      <c r="J25" s="74">
        <v>110</v>
      </c>
      <c r="K25" s="148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137.5*12*0</f>
        <v>0</v>
      </c>
      <c r="D27" s="83" t="s">
        <v>15</v>
      </c>
      <c r="E27" s="200"/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150*12*0</f>
        <v>0</v>
      </c>
      <c r="D30" s="83" t="s">
        <v>20</v>
      </c>
      <c r="E30" s="200"/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244510.95354000002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290">
        <f>(1.33*(3565+200)*1.5*1.15*1.083*1.302*3)+(1.33*(3708+200)*1.5*1.15*1.083*1.302*9)+(0.1*575*12)</f>
        <v>151012.7858538735</v>
      </c>
      <c r="D36" s="291" t="s">
        <v>808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292">
        <f>72*(360.84*0.025*3+362.52*0.025*3+382.25*0.025*6)</f>
        <v>8034.4440000000004</v>
      </c>
      <c r="D39" s="293" t="s">
        <v>795</v>
      </c>
      <c r="E39" s="199" t="s">
        <v>101</v>
      </c>
      <c r="H39" s="3"/>
    </row>
    <row r="40" spans="2:8" ht="15.75">
      <c r="B40" s="113" t="s">
        <v>31</v>
      </c>
      <c r="C40" s="294">
        <f>(16.86+17.53)*31</f>
        <v>1066.0899999999999</v>
      </c>
      <c r="D40" s="295" t="s">
        <v>809</v>
      </c>
      <c r="E40" s="200" t="s">
        <v>102</v>
      </c>
      <c r="H40" s="3"/>
    </row>
    <row r="41" spans="2:8" ht="36.75" customHeight="1">
      <c r="B41" s="113" t="s">
        <v>32</v>
      </c>
      <c r="C41" s="294">
        <f>(49.72+51.71)*2*31</f>
        <v>6288.6600000000008</v>
      </c>
      <c r="D41" s="295" t="s">
        <v>810</v>
      </c>
      <c r="E41" s="200"/>
      <c r="H41" s="3"/>
    </row>
    <row r="42" spans="2:8" ht="15.75">
      <c r="B42" s="113" t="s">
        <v>33</v>
      </c>
      <c r="C42" s="185">
        <f>0.26*110*12</f>
        <v>343.20000000000005</v>
      </c>
      <c r="D42" s="155" t="s">
        <v>295</v>
      </c>
      <c r="E42" s="200" t="s">
        <v>99</v>
      </c>
      <c r="H42" s="3"/>
    </row>
    <row r="43" spans="2:8" ht="15.75">
      <c r="B43" s="115" t="s">
        <v>34</v>
      </c>
      <c r="C43" s="185">
        <f>1.02*110*4</f>
        <v>448.8</v>
      </c>
      <c r="D43" s="155" t="s">
        <v>296</v>
      </c>
      <c r="E43" s="200" t="s">
        <v>103</v>
      </c>
      <c r="H43" s="3"/>
    </row>
    <row r="44" spans="2:8" ht="25.5">
      <c r="B44" s="94" t="s">
        <v>35</v>
      </c>
      <c r="C44" s="296">
        <f>(700.55*6+728.57*6)*0</f>
        <v>0</v>
      </c>
      <c r="D44" s="297" t="s">
        <v>320</v>
      </c>
      <c r="E44" s="200" t="s">
        <v>99</v>
      </c>
      <c r="H44" s="3"/>
    </row>
    <row r="45" spans="2:8" ht="25.5">
      <c r="B45" s="94" t="s">
        <v>70</v>
      </c>
      <c r="C45" s="298">
        <f>(695.13*6+722.94*6)</f>
        <v>8508.42</v>
      </c>
      <c r="D45" s="297" t="s">
        <v>321</v>
      </c>
      <c r="E45" s="200" t="s">
        <v>99</v>
      </c>
      <c r="H45" s="3"/>
    </row>
    <row r="46" spans="2:8" ht="15.75" hidden="1">
      <c r="B46" s="94" t="s">
        <v>182</v>
      </c>
      <c r="C46" s="70">
        <f>616.88*0</f>
        <v>0</v>
      </c>
      <c r="D46" s="69" t="s">
        <v>204</v>
      </c>
      <c r="E46" s="200" t="s">
        <v>187</v>
      </c>
      <c r="H46" s="3"/>
    </row>
    <row r="47" spans="2:8" ht="50.25" customHeight="1">
      <c r="B47" s="94" t="s">
        <v>40</v>
      </c>
      <c r="C47" s="299">
        <f>72*(211.42*6*1.45/12+226.93*6*1.45/12)</f>
        <v>22881.87</v>
      </c>
      <c r="D47" s="297" t="s">
        <v>798</v>
      </c>
      <c r="E47" s="200" t="s">
        <v>101</v>
      </c>
      <c r="H47" s="3"/>
    </row>
    <row r="48" spans="2:8" ht="25.5">
      <c r="B48" s="94" t="s">
        <v>41</v>
      </c>
      <c r="C48" s="296">
        <f>0.55*(232.8*6+243.11*6)</f>
        <v>1570.5030000000002</v>
      </c>
      <c r="D48" s="300" t="s">
        <v>827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200154.7728538735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294">
        <f>(4.45*96.4189*3)+(4.45*100.2864*9)+(1.78*(C14+C15)*12)</f>
        <v>32430.862634999998</v>
      </c>
      <c r="D51" s="301" t="s">
        <v>828</v>
      </c>
      <c r="E51" s="204"/>
    </row>
    <row r="52" spans="2:5">
      <c r="B52" s="115" t="s">
        <v>45</v>
      </c>
      <c r="C52" s="65">
        <f>13.69*564</f>
        <v>7721.16</v>
      </c>
      <c r="D52" s="83" t="s">
        <v>811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829</v>
      </c>
      <c r="E53" s="200"/>
    </row>
    <row r="54" spans="2:5" ht="51">
      <c r="B54" s="113" t="s">
        <v>46</v>
      </c>
      <c r="C54" s="294">
        <f>(632.04+251.07/3)*5015/1000</f>
        <v>3589.3859500000003</v>
      </c>
      <c r="D54" s="301" t="s">
        <v>812</v>
      </c>
      <c r="E54" s="94" t="s">
        <v>105</v>
      </c>
    </row>
    <row r="55" spans="2:5" ht="51">
      <c r="B55" s="121" t="s">
        <v>47</v>
      </c>
      <c r="C55" s="302">
        <f>((40.81/12*3*96.4189)+(40.81/12*9*100.2864))+((40.81/12*3*96.4189)+(40.81/12*9*100.2864))/1.302*25%</f>
        <v>4831.4997490537635</v>
      </c>
      <c r="D55" s="301" t="s">
        <v>813</v>
      </c>
      <c r="E55" s="200"/>
    </row>
    <row r="56" spans="2:5" ht="15.75">
      <c r="B56" s="122" t="s">
        <v>48</v>
      </c>
      <c r="C56" s="117">
        <f>C51+C52+C53+C54+C55</f>
        <v>48572.908334053769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3.05*(C14+C15)</f>
        <v>3873.5</v>
      </c>
      <c r="D64" s="126" t="s">
        <v>830</v>
      </c>
      <c r="E64" s="200"/>
    </row>
    <row r="65" spans="2:8" ht="15.75">
      <c r="B65" s="130" t="s">
        <v>57</v>
      </c>
      <c r="C65" s="131">
        <f>1.49*(C14+C15)</f>
        <v>1892.3</v>
      </c>
      <c r="D65" s="131" t="s">
        <v>864</v>
      </c>
      <c r="E65" s="200"/>
      <c r="H65" s="4"/>
    </row>
    <row r="66" spans="2:8">
      <c r="B66" s="78" t="s">
        <v>58</v>
      </c>
      <c r="C66" s="95">
        <f>(C49+C56)*0.341</f>
        <v>84816.139285083205</v>
      </c>
      <c r="D66" s="126" t="s">
        <v>331</v>
      </c>
      <c r="E66" s="200"/>
    </row>
    <row r="67" spans="2:8" ht="44.25" customHeight="1">
      <c r="B67" s="78" t="s">
        <v>95</v>
      </c>
      <c r="C67" s="131">
        <f>(C49+C56+C66)*0.132</f>
        <v>44027.784302437387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134609.7235875206</v>
      </c>
      <c r="D68" s="128"/>
      <c r="E68" s="200"/>
    </row>
    <row r="69" spans="2:8">
      <c r="B69" s="78" t="s">
        <v>59</v>
      </c>
      <c r="C69" s="95">
        <f>(C49+C56+C63+C68)*3%</f>
        <v>11500.122143263436</v>
      </c>
      <c r="D69" s="126"/>
      <c r="E69" s="200"/>
    </row>
    <row r="70" spans="2:8" ht="15.75">
      <c r="B70" s="133" t="s">
        <v>23</v>
      </c>
      <c r="C70" s="134">
        <f>C49+C56+C63+C68+C69</f>
        <v>394837.52691871132</v>
      </c>
      <c r="D70" s="135"/>
      <c r="E70" s="200"/>
    </row>
    <row r="71" spans="2:8" ht="15.75">
      <c r="B71" s="133" t="s">
        <v>60</v>
      </c>
      <c r="C71" s="134">
        <f>C70*1.18</f>
        <v>465908.28176407935</v>
      </c>
      <c r="D71" s="135"/>
      <c r="E71" s="108"/>
    </row>
    <row r="72" spans="2:8" ht="15.75">
      <c r="B72" s="136"/>
      <c r="C72" s="137">
        <f>C33-C71</f>
        <v>-221397.32822407933</v>
      </c>
      <c r="D72" s="138"/>
      <c r="E72" s="200"/>
    </row>
    <row r="73" spans="2:8" ht="30">
      <c r="B73" s="159" t="s">
        <v>106</v>
      </c>
      <c r="C73" s="188">
        <f>C71/(C14+C15)/12</f>
        <v>30.571409564572136</v>
      </c>
      <c r="D73" s="189" t="s">
        <v>831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27" customHeight="1">
      <c r="B76" s="348" t="s">
        <v>334</v>
      </c>
      <c r="C76" s="348"/>
      <c r="D76" s="348"/>
      <c r="E76" s="348"/>
    </row>
    <row r="77" spans="2:8" ht="25.5" customHeight="1">
      <c r="B77" s="348" t="s">
        <v>335</v>
      </c>
      <c r="C77" s="348"/>
      <c r="D77" s="348"/>
      <c r="E77" s="348"/>
    </row>
    <row r="78" spans="2:8" ht="23.25" customHeight="1">
      <c r="B78" s="163"/>
      <c r="C78" s="192"/>
      <c r="D78" s="193"/>
      <c r="E78" s="174"/>
    </row>
    <row r="79" spans="2:8">
      <c r="B79" s="164"/>
      <c r="C79" s="194"/>
      <c r="D79" s="195"/>
      <c r="E79" s="174"/>
    </row>
    <row r="80" spans="2:8">
      <c r="B80" s="344" t="s">
        <v>213</v>
      </c>
      <c r="C80" s="344"/>
      <c r="D80" s="344"/>
      <c r="E80" s="174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  <row r="93" spans="2:4" s="9" customFormat="1">
      <c r="B93" s="47"/>
      <c r="C93" s="47"/>
      <c r="D93" s="47"/>
    </row>
    <row r="94" spans="2:4" s="9" customFormat="1">
      <c r="B94" s="47"/>
      <c r="C94" s="47"/>
      <c r="D94" s="47"/>
    </row>
    <row r="95" spans="2:4" s="9" customFormat="1">
      <c r="B95" s="47"/>
      <c r="C95" s="47"/>
      <c r="D95" s="47"/>
    </row>
    <row r="96" spans="2:4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</sheetData>
  <mergeCells count="6">
    <mergeCell ref="B80:D80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3:K92"/>
  <sheetViews>
    <sheetView workbookViewId="0">
      <selection activeCell="S19" sqref="S19"/>
    </sheetView>
  </sheetViews>
  <sheetFormatPr defaultRowHeight="15"/>
  <cols>
    <col min="1" max="1" width="3.42578125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2.140625" style="9" customWidth="1"/>
    <col min="6" max="6" width="4.140625" style="62" customWidth="1"/>
    <col min="7" max="7" width="9.140625" style="62"/>
    <col min="8" max="8" width="6.7109375" style="62" hidden="1" customWidth="1"/>
    <col min="9" max="9" width="15.140625" style="62" hidden="1" customWidth="1"/>
    <col min="10" max="12" width="0" style="62" hidden="1" customWidth="1"/>
    <col min="13" max="16384" width="9.140625" style="62"/>
  </cols>
  <sheetData>
    <row r="3" spans="2:11" ht="15.75">
      <c r="D3" s="176" t="s">
        <v>0</v>
      </c>
      <c r="E3" s="174"/>
    </row>
    <row r="4" spans="2:11" ht="15.75">
      <c r="D4" s="176" t="s">
        <v>298</v>
      </c>
      <c r="E4" s="174"/>
    </row>
    <row r="5" spans="2:11" ht="15.75">
      <c r="D5" s="176" t="s">
        <v>206</v>
      </c>
      <c r="E5" s="174"/>
      <c r="I5" s="146" t="s">
        <v>160</v>
      </c>
      <c r="J5" s="283">
        <v>14.83</v>
      </c>
      <c r="K5" s="148" t="s">
        <v>186</v>
      </c>
    </row>
    <row r="6" spans="2:11" ht="15.75">
      <c r="D6" s="176"/>
      <c r="E6" s="174"/>
      <c r="I6" s="147" t="s">
        <v>162</v>
      </c>
      <c r="J6" s="147">
        <v>1275.2</v>
      </c>
      <c r="K6" s="148"/>
    </row>
    <row r="7" spans="2:11" ht="15.75">
      <c r="D7" s="176" t="s">
        <v>297</v>
      </c>
      <c r="E7" s="174"/>
      <c r="I7" s="147" t="s">
        <v>163</v>
      </c>
      <c r="J7" s="147">
        <v>32</v>
      </c>
      <c r="K7" s="148"/>
    </row>
    <row r="8" spans="2:11" ht="15.75">
      <c r="D8" s="66"/>
      <c r="I8" s="147" t="s">
        <v>164</v>
      </c>
      <c r="J8" s="283">
        <v>67</v>
      </c>
      <c r="K8" s="148"/>
    </row>
    <row r="9" spans="2:11" ht="15.75">
      <c r="D9" s="66"/>
      <c r="I9" s="149" t="s">
        <v>165</v>
      </c>
      <c r="J9" s="147">
        <v>5231</v>
      </c>
      <c r="K9" s="148"/>
    </row>
    <row r="10" spans="2:11" ht="29.25" customHeight="1">
      <c r="B10" s="346" t="s">
        <v>299</v>
      </c>
      <c r="C10" s="346"/>
      <c r="D10" s="346"/>
      <c r="E10" s="346"/>
      <c r="I10" s="147" t="s">
        <v>166</v>
      </c>
      <c r="J10" s="147">
        <v>122.4</v>
      </c>
      <c r="K10" s="148"/>
    </row>
    <row r="11" spans="2:11" ht="15" customHeight="1">
      <c r="B11" s="347" t="s">
        <v>109</v>
      </c>
      <c r="C11" s="347"/>
      <c r="D11" s="347"/>
      <c r="E11" s="347"/>
      <c r="I11" s="147" t="s">
        <v>167</v>
      </c>
      <c r="J11" s="147">
        <v>586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196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1280</v>
      </c>
      <c r="D14" s="77" t="s">
        <v>61</v>
      </c>
      <c r="I14" s="147" t="s">
        <v>170</v>
      </c>
      <c r="J14" s="283">
        <v>546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285">
        <v>742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32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179.57257986152001</v>
      </c>
      <c r="K17" s="148"/>
    </row>
    <row r="18" spans="2:11">
      <c r="B18" s="93" t="s">
        <v>7</v>
      </c>
      <c r="C18" s="198">
        <f>C14*14.83*12</f>
        <v>227788.80000000002</v>
      </c>
      <c r="D18" s="155" t="s">
        <v>386</v>
      </c>
      <c r="E18" s="199" t="s">
        <v>99</v>
      </c>
      <c r="I18" s="147" t="s">
        <v>174</v>
      </c>
      <c r="J18" s="147">
        <v>4.83</v>
      </c>
      <c r="K18" s="148"/>
    </row>
    <row r="19" spans="2:11" ht="38.25">
      <c r="B19" s="94" t="s">
        <v>8</v>
      </c>
      <c r="C19" s="325">
        <f>67*(211.42*6*1.45/12+226.93*6*1.45/12)*1.18</f>
        <v>25125.564474999999</v>
      </c>
      <c r="D19" s="326" t="s">
        <v>387</v>
      </c>
      <c r="E19" s="200"/>
      <c r="I19" s="147" t="s">
        <v>175</v>
      </c>
      <c r="J19" s="150">
        <v>0.27</v>
      </c>
      <c r="K19" s="154">
        <f>(J15/3+J14)/2920</f>
        <v>0.27168949771689499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48"/>
    </row>
    <row r="21" spans="2:11">
      <c r="B21" s="78"/>
      <c r="C21" s="98"/>
      <c r="D21" s="99"/>
      <c r="E21" s="200"/>
      <c r="I21" s="152" t="s">
        <v>177</v>
      </c>
      <c r="J21" s="153"/>
      <c r="K21" s="148"/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227788.80000000002</v>
      </c>
      <c r="D24" s="83"/>
      <c r="E24" s="200"/>
      <c r="I24" s="148" t="s">
        <v>180</v>
      </c>
      <c r="J24" s="148"/>
      <c r="K24" s="148"/>
    </row>
    <row r="25" spans="2:11">
      <c r="B25" s="104" t="s">
        <v>11</v>
      </c>
      <c r="C25" s="65">
        <f>C26+C27+C28+C29+C30+C31</f>
        <v>5039.76</v>
      </c>
      <c r="D25" s="83"/>
      <c r="E25" s="200"/>
      <c r="I25" s="74" t="s">
        <v>185</v>
      </c>
      <c r="J25" s="74">
        <v>122.4</v>
      </c>
      <c r="K25" s="74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137.5*12*0</f>
        <v>0</v>
      </c>
      <c r="D27" s="83" t="s">
        <v>15</v>
      </c>
      <c r="E27" s="200"/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150*12*0</f>
        <v>0</v>
      </c>
      <c r="D30" s="83" t="s">
        <v>20</v>
      </c>
      <c r="E30" s="200"/>
    </row>
    <row r="31" spans="2:11">
      <c r="B31" s="78" t="s">
        <v>69</v>
      </c>
      <c r="C31" s="65">
        <f>137.5*12</f>
        <v>1650</v>
      </c>
      <c r="D31" s="83" t="s">
        <v>15</v>
      </c>
      <c r="E31" s="200" t="s">
        <v>99</v>
      </c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232828.56000000003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329">
        <f>(0.27*(3565+200)*1.5*1.15*1.083*1.302*3)+(0.27*(3708+200)*1.5*1.15*1.083*1.302*9)+(0.1*546*12)</f>
        <v>31171.855774846503</v>
      </c>
      <c r="D36" s="330" t="s">
        <v>388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331">
        <f>67*(360.84*0.025*3+362.52*0.025*3+382.25*0.025*6)</f>
        <v>7476.4965000000002</v>
      </c>
      <c r="D39" s="332" t="s">
        <v>389</v>
      </c>
      <c r="E39" s="199" t="s">
        <v>101</v>
      </c>
      <c r="H39" s="3"/>
    </row>
    <row r="40" spans="2:8" ht="15.75">
      <c r="B40" s="113" t="s">
        <v>31</v>
      </c>
      <c r="C40" s="333">
        <f>(16.86+17.53)*32</f>
        <v>1100.48</v>
      </c>
      <c r="D40" s="334" t="s">
        <v>390</v>
      </c>
      <c r="E40" s="200" t="s">
        <v>102</v>
      </c>
      <c r="H40" s="3"/>
    </row>
    <row r="41" spans="2:8" ht="25.5">
      <c r="B41" s="113" t="s">
        <v>32</v>
      </c>
      <c r="C41" s="333">
        <f>(49.72+51.71)*2*32</f>
        <v>6491.52</v>
      </c>
      <c r="D41" s="334" t="s">
        <v>391</v>
      </c>
      <c r="E41" s="200" t="s">
        <v>103</v>
      </c>
      <c r="H41" s="3"/>
    </row>
    <row r="42" spans="2:8" ht="15.75">
      <c r="B42" s="113" t="s">
        <v>33</v>
      </c>
      <c r="C42" s="185">
        <f>0.26*122.4*12</f>
        <v>381.88800000000003</v>
      </c>
      <c r="D42" s="155" t="s">
        <v>214</v>
      </c>
      <c r="E42" s="200" t="s">
        <v>99</v>
      </c>
      <c r="H42" s="3"/>
    </row>
    <row r="43" spans="2:8" ht="15.75">
      <c r="B43" s="115" t="s">
        <v>34</v>
      </c>
      <c r="C43" s="185">
        <f>1.02*122.4*4</f>
        <v>499.39200000000005</v>
      </c>
      <c r="D43" s="155" t="s">
        <v>215</v>
      </c>
      <c r="E43" s="200" t="s">
        <v>103</v>
      </c>
      <c r="H43" s="3"/>
    </row>
    <row r="44" spans="2:8" ht="25.5">
      <c r="B44" s="94" t="s">
        <v>35</v>
      </c>
      <c r="C44" s="335">
        <f>(700.55*6+728.57*6)*0</f>
        <v>0</v>
      </c>
      <c r="D44" s="336" t="s">
        <v>320</v>
      </c>
      <c r="E44" s="200"/>
      <c r="H44" s="3"/>
    </row>
    <row r="45" spans="2:8" ht="15.75">
      <c r="B45" s="94" t="s">
        <v>216</v>
      </c>
      <c r="C45" s="342">
        <f>154.93*12</f>
        <v>1859.16</v>
      </c>
      <c r="D45" s="343" t="s">
        <v>867</v>
      </c>
      <c r="E45" s="200" t="s">
        <v>99</v>
      </c>
      <c r="H45" s="3"/>
    </row>
    <row r="46" spans="2:8" ht="15.75" hidden="1">
      <c r="B46" s="94" t="s">
        <v>38</v>
      </c>
      <c r="C46" s="70"/>
      <c r="D46" s="69"/>
      <c r="E46" s="200"/>
      <c r="H46" s="3"/>
    </row>
    <row r="47" spans="2:8" ht="50.25" customHeight="1">
      <c r="B47" s="94" t="s">
        <v>40</v>
      </c>
      <c r="C47" s="338">
        <f>67*(211.42*6*1.45/12+226.93*6*1.45/12)</f>
        <v>21292.85125</v>
      </c>
      <c r="D47" s="336" t="s">
        <v>392</v>
      </c>
      <c r="E47" s="200" t="s">
        <v>101</v>
      </c>
      <c r="H47" s="3"/>
    </row>
    <row r="48" spans="2:8" ht="25.5">
      <c r="B48" s="94" t="s">
        <v>41</v>
      </c>
      <c r="C48" s="335">
        <f>0*(232.8*6+243.11*6)</f>
        <v>0</v>
      </c>
      <c r="D48" s="339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70273.643524846499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333">
        <f>(4.83*96.4189*3)+(4.83*100.2864*9)+(1.78*(C14+C15)*12)</f>
        <v>33097.359669000005</v>
      </c>
      <c r="D51" s="340" t="s">
        <v>394</v>
      </c>
      <c r="E51" s="204"/>
    </row>
    <row r="52" spans="2:5">
      <c r="B52" s="115" t="s">
        <v>45</v>
      </c>
      <c r="C52" s="65">
        <f>13.69*586</f>
        <v>8022.34</v>
      </c>
      <c r="D52" s="83" t="s">
        <v>395</v>
      </c>
      <c r="E52" s="200" t="s">
        <v>104</v>
      </c>
    </row>
    <row r="53" spans="2:5" ht="89.25">
      <c r="B53" s="172" t="s">
        <v>94</v>
      </c>
      <c r="C53" s="70">
        <f>17.51*(C14+C15)</f>
        <v>22412.800000000003</v>
      </c>
      <c r="D53" s="83" t="s">
        <v>396</v>
      </c>
      <c r="E53" s="200"/>
    </row>
    <row r="54" spans="2:5" ht="63.75">
      <c r="B54" s="113" t="s">
        <v>46</v>
      </c>
      <c r="C54" s="333">
        <f>(632.04+251.07/3)*5231/1000</f>
        <v>3743.9836299999997</v>
      </c>
      <c r="D54" s="340" t="s">
        <v>397</v>
      </c>
      <c r="E54" s="94" t="s">
        <v>105</v>
      </c>
    </row>
    <row r="55" spans="2:5" ht="51">
      <c r="B55" s="121" t="s">
        <v>47</v>
      </c>
      <c r="C55" s="341">
        <f>((179.57/12*3*96.4189)+(179.57/12*9*100.2864))+((179.57/12*3*96.4189)+(179.57/12*9*100.2864))/1.302*25%</f>
        <v>21259.309236402456</v>
      </c>
      <c r="D55" s="340" t="s">
        <v>398</v>
      </c>
      <c r="E55" s="200"/>
    </row>
    <row r="56" spans="2:5" ht="15.75">
      <c r="B56" s="122" t="s">
        <v>48</v>
      </c>
      <c r="C56" s="117">
        <f>C51+C52+C53+C54+C55</f>
        <v>88535.792535402463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3.05*(C14+C15)</f>
        <v>3904</v>
      </c>
      <c r="D64" s="126" t="s">
        <v>399</v>
      </c>
      <c r="E64" s="200"/>
    </row>
    <row r="65" spans="2:8" ht="15.75">
      <c r="B65" s="130" t="s">
        <v>57</v>
      </c>
      <c r="C65" s="95">
        <f>1.49*(C14+C15)</f>
        <v>1907.2</v>
      </c>
      <c r="D65" s="131" t="s">
        <v>835</v>
      </c>
      <c r="E65" s="200"/>
      <c r="H65" s="4"/>
    </row>
    <row r="66" spans="2:8">
      <c r="B66" s="78" t="s">
        <v>58</v>
      </c>
      <c r="C66" s="95">
        <f>(C49+C56)*0.341</f>
        <v>54154.017696544899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28111.175895896791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88076.393592441687</v>
      </c>
      <c r="D68" s="128"/>
      <c r="E68" s="200"/>
    </row>
    <row r="69" spans="2:8">
      <c r="B69" s="78" t="s">
        <v>59</v>
      </c>
      <c r="C69" s="95">
        <f>(C49+C56+C63+C68)*3%</f>
        <v>7406.5748895807192</v>
      </c>
      <c r="D69" s="126"/>
      <c r="E69" s="200"/>
    </row>
    <row r="70" spans="2:8" ht="15.75">
      <c r="B70" s="133" t="s">
        <v>23</v>
      </c>
      <c r="C70" s="134">
        <f>C49+C56+C63+C68+C69</f>
        <v>254292.40454227137</v>
      </c>
      <c r="D70" s="135"/>
      <c r="E70" s="200"/>
    </row>
    <row r="71" spans="2:8" ht="15.75">
      <c r="B71" s="133" t="s">
        <v>60</v>
      </c>
      <c r="C71" s="134">
        <f>C70*1.18</f>
        <v>300065.03735988023</v>
      </c>
      <c r="D71" s="135"/>
      <c r="E71" s="108"/>
    </row>
    <row r="72" spans="2:8" ht="15.75">
      <c r="B72" s="136"/>
      <c r="C72" s="137">
        <f>C33-C71</f>
        <v>-67236.477359880198</v>
      </c>
      <c r="D72" s="138"/>
      <c r="E72" s="200"/>
    </row>
    <row r="73" spans="2:8" ht="30">
      <c r="B73" s="159" t="s">
        <v>106</v>
      </c>
      <c r="C73" s="188">
        <f>C71/(C14+C15)/12</f>
        <v>19.535484203117203</v>
      </c>
      <c r="D73" s="189" t="s">
        <v>133</v>
      </c>
      <c r="E73" s="108"/>
    </row>
    <row r="74" spans="2:8">
      <c r="B74" s="161"/>
      <c r="C74" s="190"/>
      <c r="D74" s="191"/>
      <c r="E74" s="205"/>
    </row>
    <row r="75" spans="2:8" ht="21.75" customHeight="1">
      <c r="B75" s="345" t="s">
        <v>97</v>
      </c>
      <c r="C75" s="345"/>
      <c r="D75" s="345"/>
      <c r="E75" s="303"/>
    </row>
    <row r="76" spans="2:8" ht="34.5" customHeight="1">
      <c r="B76" s="348" t="s">
        <v>334</v>
      </c>
      <c r="C76" s="348"/>
      <c r="D76" s="348"/>
      <c r="E76" s="348"/>
    </row>
    <row r="77" spans="2:8" ht="25.5" customHeight="1">
      <c r="B77" s="348" t="s">
        <v>335</v>
      </c>
      <c r="C77" s="348"/>
      <c r="D77" s="348"/>
      <c r="E77" s="348"/>
    </row>
    <row r="78" spans="2:8" ht="1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208</v>
      </c>
      <c r="C81" s="344"/>
      <c r="D81" s="344"/>
    </row>
    <row r="85" spans="2:4" s="9" customFormat="1">
      <c r="B85" s="47"/>
      <c r="C85" s="47"/>
      <c r="D85" s="47"/>
    </row>
    <row r="86" spans="2:4" s="9" customFormat="1">
      <c r="B86" s="47"/>
      <c r="C86" s="47"/>
      <c r="D86" s="47"/>
    </row>
    <row r="87" spans="2:4" s="9" customFormat="1">
      <c r="B87" s="47"/>
      <c r="C87" s="47"/>
      <c r="D87" s="47"/>
    </row>
    <row r="88" spans="2:4" s="9" customFormat="1">
      <c r="B88" s="47"/>
      <c r="C88" s="47"/>
      <c r="D88" s="47"/>
    </row>
    <row r="89" spans="2:4" s="9" customFormat="1">
      <c r="B89" s="47"/>
      <c r="C89" s="47"/>
      <c r="D89" s="47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19685039370078741" right="0.11811023622047245" top="0.23622047244094491" bottom="0.23622047244094491" header="0.15748031496062992" footer="0.15748031496062992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3:K92"/>
  <sheetViews>
    <sheetView workbookViewId="0">
      <selection activeCell="Q15" sqref="Q15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5.42578125" style="9" customWidth="1"/>
    <col min="6" max="6" width="5.140625" style="62" customWidth="1"/>
    <col min="7" max="7" width="0" style="62" hidden="1" customWidth="1"/>
    <col min="8" max="8" width="7.140625" style="62" hidden="1" customWidth="1"/>
    <col min="9" max="9" width="14.85546875" style="62" hidden="1" customWidth="1"/>
    <col min="10" max="12" width="0" style="62" hidden="1" customWidth="1"/>
    <col min="13" max="16384" width="9.140625" style="62"/>
  </cols>
  <sheetData>
    <row r="3" spans="2:11" ht="15.75">
      <c r="D3" s="176" t="s">
        <v>0</v>
      </c>
      <c r="E3" s="174"/>
      <c r="G3" s="220">
        <v>42795</v>
      </c>
    </row>
    <row r="4" spans="2:11" ht="15.75">
      <c r="D4" s="176" t="s">
        <v>298</v>
      </c>
      <c r="E4" s="174"/>
    </row>
    <row r="5" spans="2:11" ht="15.75">
      <c r="D5" s="176" t="s">
        <v>206</v>
      </c>
      <c r="E5" s="174"/>
      <c r="I5" s="146" t="s">
        <v>160</v>
      </c>
      <c r="J5" s="283">
        <v>14.83</v>
      </c>
      <c r="K5" s="148" t="s">
        <v>186</v>
      </c>
    </row>
    <row r="6" spans="2:11" ht="15.75">
      <c r="D6" s="176"/>
      <c r="E6" s="174"/>
      <c r="I6" s="147" t="s">
        <v>162</v>
      </c>
      <c r="J6" s="147">
        <v>2525.4</v>
      </c>
      <c r="K6" s="148"/>
    </row>
    <row r="7" spans="2:11" ht="15.75">
      <c r="D7" s="176" t="s">
        <v>297</v>
      </c>
      <c r="E7" s="174"/>
      <c r="I7" s="147" t="s">
        <v>163</v>
      </c>
      <c r="J7" s="147">
        <v>64</v>
      </c>
      <c r="K7" s="148"/>
    </row>
    <row r="8" spans="2:11" ht="15.75">
      <c r="D8" s="66"/>
      <c r="I8" s="147" t="s">
        <v>164</v>
      </c>
      <c r="J8" s="283">
        <v>139</v>
      </c>
      <c r="K8" s="148"/>
    </row>
    <row r="9" spans="2:11" ht="15.75">
      <c r="D9" s="66"/>
      <c r="I9" s="149" t="s">
        <v>165</v>
      </c>
      <c r="J9" s="147">
        <v>9959</v>
      </c>
      <c r="K9" s="148"/>
    </row>
    <row r="10" spans="2:11" ht="31.5" customHeight="1">
      <c r="B10" s="346" t="s">
        <v>299</v>
      </c>
      <c r="C10" s="346"/>
      <c r="D10" s="346"/>
      <c r="E10" s="346"/>
      <c r="I10" s="147" t="s">
        <v>166</v>
      </c>
      <c r="J10" s="147">
        <v>120.8</v>
      </c>
      <c r="K10" s="148"/>
    </row>
    <row r="11" spans="2:11" ht="15" customHeight="1">
      <c r="B11" s="347" t="s">
        <v>110</v>
      </c>
      <c r="C11" s="347"/>
      <c r="D11" s="347"/>
      <c r="E11" s="347"/>
      <c r="I11" s="147" t="s">
        <v>167</v>
      </c>
      <c r="J11" s="147">
        <v>1205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2525.4</v>
      </c>
      <c r="D14" s="77" t="s">
        <v>61</v>
      </c>
      <c r="I14" s="147" t="s">
        <v>170</v>
      </c>
      <c r="J14" s="283">
        <v>1048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285">
        <v>2517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/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357.16473445230997</v>
      </c>
      <c r="K17" s="148"/>
    </row>
    <row r="18" spans="2:11">
      <c r="B18" s="93" t="s">
        <v>7</v>
      </c>
      <c r="C18" s="198">
        <f>C14*14.83*12</f>
        <v>449420.18400000001</v>
      </c>
      <c r="D18" s="155" t="s">
        <v>400</v>
      </c>
      <c r="E18" s="199" t="s">
        <v>99</v>
      </c>
      <c r="I18" s="147" t="s">
        <v>174</v>
      </c>
      <c r="J18" s="147">
        <v>6.64</v>
      </c>
      <c r="K18" s="148"/>
    </row>
    <row r="19" spans="2:11" ht="38.25">
      <c r="B19" s="94" t="s">
        <v>8</v>
      </c>
      <c r="C19" s="325">
        <f>139*(211.42*6*1.45/12+226.93*6*1.45/12)*1.18</f>
        <v>52126.171074999991</v>
      </c>
      <c r="D19" s="326" t="s">
        <v>402</v>
      </c>
      <c r="E19" s="200"/>
      <c r="I19" s="147" t="s">
        <v>175</v>
      </c>
      <c r="J19" s="150">
        <v>0.65</v>
      </c>
      <c r="K19" s="154">
        <f>(J15/3+J14)/2920</f>
        <v>0.64623287671232876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>
        <v>0</v>
      </c>
      <c r="K20" s="148"/>
    </row>
    <row r="21" spans="2:11">
      <c r="B21" s="78"/>
      <c r="C21" s="98"/>
      <c r="D21" s="99"/>
      <c r="E21" s="200"/>
      <c r="I21" s="152" t="s">
        <v>177</v>
      </c>
      <c r="J21" s="153">
        <v>0</v>
      </c>
      <c r="K21" s="148"/>
    </row>
    <row r="22" spans="2:11">
      <c r="B22" s="100"/>
      <c r="C22" s="101"/>
      <c r="D22" s="201"/>
      <c r="E22" s="200"/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/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449420.18400000001</v>
      </c>
      <c r="D24" s="83"/>
      <c r="E24" s="200"/>
      <c r="I24" s="148" t="s">
        <v>180</v>
      </c>
      <c r="J24" s="148"/>
      <c r="K24" s="148"/>
    </row>
    <row r="25" spans="2:11">
      <c r="B25" s="104" t="s">
        <v>11</v>
      </c>
      <c r="C25" s="65">
        <f>C26+C27+C28+C29+C30+C31</f>
        <v>6689.76</v>
      </c>
      <c r="D25" s="83"/>
      <c r="E25" s="200"/>
      <c r="I25" s="74" t="s">
        <v>185</v>
      </c>
      <c r="J25" s="74">
        <v>120.8</v>
      </c>
      <c r="K25" s="74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150*12*0</f>
        <v>0</v>
      </c>
      <c r="D30" s="83" t="s">
        <v>20</v>
      </c>
      <c r="E30" s="200"/>
    </row>
    <row r="31" spans="2:11">
      <c r="B31" s="78" t="s">
        <v>69</v>
      </c>
      <c r="C31" s="65">
        <f>137.5*12</f>
        <v>1650</v>
      </c>
      <c r="D31" s="83" t="s">
        <v>15</v>
      </c>
      <c r="E31" s="200" t="s">
        <v>99</v>
      </c>
    </row>
    <row r="32" spans="2:11">
      <c r="B32" s="104" t="s">
        <v>21</v>
      </c>
      <c r="C32" s="65">
        <v>0</v>
      </c>
      <c r="D32" s="83"/>
      <c r="E32" s="200"/>
      <c r="G32" s="62" t="s">
        <v>22</v>
      </c>
    </row>
    <row r="33" spans="2:8" ht="18.75">
      <c r="B33" s="105" t="s">
        <v>23</v>
      </c>
      <c r="C33" s="106">
        <f>C24+C25+C32</f>
        <v>456109.94400000002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329">
        <f>(0.65*(3565+200)*1.5*1.15*1.083*1.302*3)+(0.65*(3708+200)*1.5*1.15*1.083*1.302*9)+(0.1*1048*12)</f>
        <v>74723.623161667507</v>
      </c>
      <c r="D36" s="330" t="s">
        <v>403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331">
        <f>139*(360.84*0.025*3+362.52*0.025*3+382.25*0.025*6)</f>
        <v>15510.940500000001</v>
      </c>
      <c r="D39" s="332" t="s">
        <v>404</v>
      </c>
      <c r="E39" s="199" t="s">
        <v>101</v>
      </c>
      <c r="H39" s="3"/>
    </row>
    <row r="40" spans="2:8" ht="15.75">
      <c r="B40" s="113" t="s">
        <v>31</v>
      </c>
      <c r="C40" s="333">
        <f>(16.86+17.53)*64</f>
        <v>2200.96</v>
      </c>
      <c r="D40" s="334" t="s">
        <v>342</v>
      </c>
      <c r="E40" s="200" t="s">
        <v>102</v>
      </c>
      <c r="H40" s="3"/>
    </row>
    <row r="41" spans="2:8" ht="25.5">
      <c r="B41" s="113" t="s">
        <v>32</v>
      </c>
      <c r="C41" s="333">
        <f>(49.72+51.71)*2*64</f>
        <v>12983.04</v>
      </c>
      <c r="D41" s="334" t="s">
        <v>343</v>
      </c>
      <c r="E41" s="200" t="s">
        <v>103</v>
      </c>
      <c r="H41" s="3"/>
    </row>
    <row r="42" spans="2:8" ht="15.75">
      <c r="B42" s="113" t="s">
        <v>33</v>
      </c>
      <c r="C42" s="185">
        <f>0.26*120.8*12</f>
        <v>376.89600000000002</v>
      </c>
      <c r="D42" s="155" t="s">
        <v>405</v>
      </c>
      <c r="E42" s="200" t="s">
        <v>99</v>
      </c>
      <c r="H42" s="3"/>
    </row>
    <row r="43" spans="2:8" ht="15.75">
      <c r="B43" s="115" t="s">
        <v>34</v>
      </c>
      <c r="C43" s="185">
        <f>1.02*120.8*4</f>
        <v>492.86399999999998</v>
      </c>
      <c r="D43" s="155" t="s">
        <v>226</v>
      </c>
      <c r="E43" s="200" t="s">
        <v>103</v>
      </c>
      <c r="H43" s="3"/>
    </row>
    <row r="44" spans="2:8" ht="25.5">
      <c r="B44" s="94" t="s">
        <v>35</v>
      </c>
      <c r="C44" s="335">
        <f>(700.55*6+728.57*6)</f>
        <v>8574.7199999999993</v>
      </c>
      <c r="D44" s="336" t="s">
        <v>320</v>
      </c>
      <c r="E44" s="200" t="s">
        <v>99</v>
      </c>
      <c r="H44" s="3"/>
    </row>
    <row r="45" spans="2:8" ht="25.5">
      <c r="B45" s="94" t="s">
        <v>70</v>
      </c>
      <c r="C45" s="337">
        <f>(695.13*6+722.94*6)*0</f>
        <v>0</v>
      </c>
      <c r="D45" s="336" t="s">
        <v>321</v>
      </c>
      <c r="E45" s="200" t="s">
        <v>99</v>
      </c>
      <c r="H45" s="3"/>
    </row>
    <row r="46" spans="2:8" ht="15.75">
      <c r="B46" s="94" t="s">
        <v>216</v>
      </c>
      <c r="C46" s="70">
        <f>305.62*12</f>
        <v>3667.44</v>
      </c>
      <c r="D46" s="186" t="s">
        <v>868</v>
      </c>
      <c r="E46" s="200" t="s">
        <v>99</v>
      </c>
      <c r="H46" s="3"/>
    </row>
    <row r="47" spans="2:8" ht="50.25" customHeight="1">
      <c r="B47" s="94" t="s">
        <v>40</v>
      </c>
      <c r="C47" s="338">
        <f>139*(211.42*6*1.45/12+226.93*6*1.45/12)</f>
        <v>44174.721249999995</v>
      </c>
      <c r="D47" s="336" t="s">
        <v>406</v>
      </c>
      <c r="E47" s="200" t="s">
        <v>101</v>
      </c>
      <c r="H47" s="3"/>
    </row>
    <row r="48" spans="2:8" ht="25.5">
      <c r="B48" s="94" t="s">
        <v>41</v>
      </c>
      <c r="C48" s="335">
        <f>0*(232.8*6+243.11*6)</f>
        <v>0</v>
      </c>
      <c r="D48" s="339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162705.2049116675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333">
        <f>(6.64*96.4189*3)+(6.64*100.2864*9)+(1.78*(C14+C15)*12)</f>
        <v>61856.323752000011</v>
      </c>
      <c r="D51" s="340" t="s">
        <v>407</v>
      </c>
      <c r="E51" s="204"/>
    </row>
    <row r="52" spans="2:5">
      <c r="B52" s="115" t="s">
        <v>45</v>
      </c>
      <c r="C52" s="65">
        <f>13.69*1205</f>
        <v>16496.45</v>
      </c>
      <c r="D52" s="83" t="s">
        <v>408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409</v>
      </c>
      <c r="E53" s="200"/>
    </row>
    <row r="54" spans="2:5" ht="51">
      <c r="B54" s="113" t="s">
        <v>46</v>
      </c>
      <c r="C54" s="333">
        <f>(632.04+251.07/3)*9959/1000</f>
        <v>7127.95507</v>
      </c>
      <c r="D54" s="340" t="s">
        <v>410</v>
      </c>
      <c r="E54" s="94" t="s">
        <v>105</v>
      </c>
    </row>
    <row r="55" spans="2:5" ht="51">
      <c r="B55" s="121" t="s">
        <v>47</v>
      </c>
      <c r="C55" s="341">
        <f>((357.16/12*3*96.4189)+(357.16/12*9*100.2864))+((357.16/12*3*96.4189)+(357.16/12*9*100.2864))/1.302*25%</f>
        <v>42284.206086058373</v>
      </c>
      <c r="D55" s="340" t="s">
        <v>411</v>
      </c>
      <c r="E55" s="200"/>
    </row>
    <row r="56" spans="2:5" ht="15.75">
      <c r="B56" s="122" t="s">
        <v>48</v>
      </c>
      <c r="C56" s="117">
        <f>C51+C52+C53+C54+C55</f>
        <v>127764.93490805838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3.05*(2525.4+0)</f>
        <v>7702.47</v>
      </c>
      <c r="D64" s="126" t="s">
        <v>412</v>
      </c>
      <c r="E64" s="200"/>
    </row>
    <row r="65" spans="2:8" ht="15.75">
      <c r="B65" s="130" t="s">
        <v>57</v>
      </c>
      <c r="C65" s="131">
        <f>1.49*(2525.4+0)</f>
        <v>3762.846</v>
      </c>
      <c r="D65" s="319" t="s">
        <v>836</v>
      </c>
      <c r="E65" s="200"/>
      <c r="H65" s="4"/>
    </row>
    <row r="66" spans="2:8">
      <c r="B66" s="78" t="s">
        <v>58</v>
      </c>
      <c r="C66" s="95">
        <f>(C49+C56)*0.341</f>
        <v>99050.317678526539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51416.700389769321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161932.33406829587</v>
      </c>
      <c r="D68" s="128"/>
      <c r="E68" s="200"/>
    </row>
    <row r="69" spans="2:8">
      <c r="B69" s="78" t="s">
        <v>59</v>
      </c>
      <c r="C69" s="95">
        <f>(C49+C56+C63+C68)*3%</f>
        <v>13572.074216640653</v>
      </c>
      <c r="D69" s="126"/>
      <c r="E69" s="200"/>
    </row>
    <row r="70" spans="2:8" ht="15.75">
      <c r="B70" s="133" t="s">
        <v>23</v>
      </c>
      <c r="C70" s="134">
        <f>C49+C56+C63+C68+C69</f>
        <v>465974.54810466245</v>
      </c>
      <c r="D70" s="135"/>
      <c r="E70" s="200"/>
    </row>
    <row r="71" spans="2:8" ht="15.75">
      <c r="B71" s="133" t="s">
        <v>60</v>
      </c>
      <c r="C71" s="134">
        <f>C70*1.18</f>
        <v>549849.96676350164</v>
      </c>
      <c r="D71" s="135"/>
      <c r="E71" s="108"/>
    </row>
    <row r="72" spans="2:8" ht="15.75">
      <c r="B72" s="136"/>
      <c r="C72" s="137">
        <f>C33-C71</f>
        <v>-93740.02276350162</v>
      </c>
      <c r="D72" s="138"/>
      <c r="E72" s="200"/>
    </row>
    <row r="73" spans="2:8" ht="30">
      <c r="B73" s="159" t="s">
        <v>106</v>
      </c>
      <c r="C73" s="188">
        <f>C71/(C14+C15)/12</f>
        <v>18.14398929422077</v>
      </c>
      <c r="D73" s="189" t="s">
        <v>401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4.5" customHeight="1">
      <c r="B76" s="348" t="s">
        <v>334</v>
      </c>
      <c r="C76" s="348"/>
      <c r="D76" s="348"/>
      <c r="E76" s="348"/>
    </row>
    <row r="77" spans="2:8" ht="32.25" customHeight="1">
      <c r="B77" s="348" t="s">
        <v>335</v>
      </c>
      <c r="C77" s="348"/>
      <c r="D77" s="348"/>
      <c r="E77" s="348"/>
    </row>
    <row r="78" spans="2:8" ht="1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208</v>
      </c>
      <c r="C81" s="344"/>
      <c r="D81" s="344"/>
    </row>
    <row r="85" spans="2:4" s="9" customFormat="1">
      <c r="B85" s="47"/>
      <c r="C85" s="47"/>
      <c r="D85" s="47"/>
    </row>
    <row r="86" spans="2:4" s="9" customFormat="1">
      <c r="B86" s="47"/>
      <c r="C86" s="47"/>
      <c r="D86" s="47"/>
    </row>
    <row r="87" spans="2:4" s="9" customFormat="1">
      <c r="B87" s="47"/>
      <c r="C87" s="47"/>
      <c r="D87" s="47"/>
    </row>
    <row r="88" spans="2:4" s="9" customFormat="1">
      <c r="B88" s="47"/>
      <c r="C88" s="47"/>
      <c r="D88" s="47"/>
    </row>
    <row r="89" spans="2:4" s="9" customFormat="1">
      <c r="B89" s="47"/>
      <c r="C89" s="47"/>
      <c r="D89" s="47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3:L109"/>
  <sheetViews>
    <sheetView topLeftCell="A75" workbookViewId="0">
      <selection activeCell="D102" sqref="D102"/>
    </sheetView>
  </sheetViews>
  <sheetFormatPr defaultRowHeight="15"/>
  <cols>
    <col min="1" max="1" width="2.7109375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5.7109375" style="9" customWidth="1"/>
    <col min="6" max="6" width="4.28515625" style="62" customWidth="1"/>
    <col min="7" max="7" width="9.140625" style="62"/>
    <col min="8" max="8" width="7.42578125" style="62" customWidth="1"/>
    <col min="9" max="9" width="15.140625" style="62" customWidth="1"/>
    <col min="10" max="16384" width="9.140625" style="62"/>
  </cols>
  <sheetData>
    <row r="3" spans="2:12" ht="15.75">
      <c r="D3" s="176" t="s">
        <v>0</v>
      </c>
    </row>
    <row r="4" spans="2:12" ht="15.75">
      <c r="D4" s="176" t="s">
        <v>210</v>
      </c>
    </row>
    <row r="5" spans="2:12" ht="15.75">
      <c r="D5" s="176" t="s">
        <v>1</v>
      </c>
      <c r="I5" s="146" t="s">
        <v>160</v>
      </c>
      <c r="J5" s="283">
        <v>21.46</v>
      </c>
      <c r="K5" s="148" t="s">
        <v>227</v>
      </c>
      <c r="L5" s="74"/>
    </row>
    <row r="6" spans="2:12" ht="15.75">
      <c r="D6" s="176"/>
      <c r="I6" s="147" t="s">
        <v>162</v>
      </c>
      <c r="J6" s="147">
        <v>11099.6</v>
      </c>
      <c r="K6" s="148"/>
      <c r="L6" s="74"/>
    </row>
    <row r="7" spans="2:12" ht="15.75">
      <c r="D7" s="176" t="s">
        <v>297</v>
      </c>
      <c r="I7" s="147" t="s">
        <v>163</v>
      </c>
      <c r="J7" s="147">
        <v>253</v>
      </c>
      <c r="K7" s="148"/>
      <c r="L7" s="74"/>
    </row>
    <row r="8" spans="2:12" ht="15.75">
      <c r="D8" s="66"/>
      <c r="I8" s="147" t="s">
        <v>164</v>
      </c>
      <c r="J8" s="283">
        <v>530</v>
      </c>
      <c r="K8" s="148"/>
      <c r="L8" s="74"/>
    </row>
    <row r="9" spans="2:12" ht="15.75">
      <c r="D9" s="66"/>
      <c r="I9" s="149" t="s">
        <v>165</v>
      </c>
      <c r="J9" s="147">
        <v>50429</v>
      </c>
      <c r="K9" s="148"/>
      <c r="L9" s="74"/>
    </row>
    <row r="10" spans="2:12" ht="29.25" customHeight="1">
      <c r="B10" s="346" t="s">
        <v>299</v>
      </c>
      <c r="C10" s="346"/>
      <c r="D10" s="346"/>
      <c r="E10" s="346"/>
      <c r="I10" s="147" t="s">
        <v>166</v>
      </c>
      <c r="J10" s="147">
        <v>1969.9</v>
      </c>
      <c r="K10" s="148"/>
      <c r="L10" s="74"/>
    </row>
    <row r="11" spans="2:12" ht="15" customHeight="1">
      <c r="B11" s="347" t="s">
        <v>111</v>
      </c>
      <c r="C11" s="347"/>
      <c r="D11" s="347"/>
      <c r="E11" s="347"/>
      <c r="I11" s="147" t="s">
        <v>167</v>
      </c>
      <c r="J11" s="147">
        <v>2167</v>
      </c>
      <c r="K11" s="148"/>
      <c r="L11" s="74"/>
    </row>
    <row r="12" spans="2:12" ht="15" customHeight="1">
      <c r="B12" s="347"/>
      <c r="C12" s="347"/>
      <c r="D12" s="347"/>
      <c r="E12" s="347"/>
      <c r="I12" s="147" t="s">
        <v>168</v>
      </c>
      <c r="J12" s="147">
        <v>5</v>
      </c>
      <c r="K12" s="148"/>
      <c r="L12" s="74"/>
    </row>
    <row r="13" spans="2:12" ht="15.75">
      <c r="B13" s="208"/>
      <c r="C13" s="282"/>
      <c r="D13" s="282"/>
      <c r="I13" s="147" t="s">
        <v>169</v>
      </c>
      <c r="J13" s="147">
        <v>5</v>
      </c>
      <c r="K13" s="148"/>
      <c r="L13" s="74"/>
    </row>
    <row r="14" spans="2:12" ht="15.75">
      <c r="B14" s="84" t="s">
        <v>2</v>
      </c>
      <c r="C14" s="85">
        <v>11099.6</v>
      </c>
      <c r="D14" s="77" t="s">
        <v>61</v>
      </c>
      <c r="I14" s="147" t="s">
        <v>170</v>
      </c>
      <c r="J14" s="283">
        <v>4781</v>
      </c>
      <c r="K14" s="148"/>
      <c r="L14" s="74"/>
    </row>
    <row r="15" spans="2:12" s="6" customFormat="1" ht="15.75">
      <c r="B15" s="86" t="s">
        <v>3</v>
      </c>
      <c r="C15" s="87">
        <f>407.2+52.6+318.8+131+958.3</f>
        <v>1867.9</v>
      </c>
      <c r="D15" s="88"/>
      <c r="E15" s="89"/>
      <c r="I15" s="147" t="s">
        <v>171</v>
      </c>
      <c r="J15" s="285">
        <v>7015</v>
      </c>
      <c r="K15" s="148"/>
    </row>
    <row r="16" spans="2:12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2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1527.4668979137</v>
      </c>
      <c r="K17" s="148"/>
      <c r="L17" s="74"/>
    </row>
    <row r="18" spans="2:12">
      <c r="B18" s="93" t="s">
        <v>7</v>
      </c>
      <c r="C18" s="198">
        <f>C14*21.46*12</f>
        <v>2858368.9920000006</v>
      </c>
      <c r="D18" s="155" t="s">
        <v>228</v>
      </c>
      <c r="E18" s="199" t="s">
        <v>99</v>
      </c>
      <c r="I18" s="147" t="s">
        <v>174</v>
      </c>
      <c r="J18" s="147">
        <v>34.83</v>
      </c>
      <c r="K18" s="148"/>
      <c r="L18" s="74"/>
    </row>
    <row r="19" spans="2:12" ht="38.25">
      <c r="B19" s="94" t="s">
        <v>8</v>
      </c>
      <c r="C19" s="286">
        <f>530*(211.42*6*1.5/12+226.93*6*1.5/12)*1.18</f>
        <v>205608.06749999998</v>
      </c>
      <c r="D19" s="287" t="s">
        <v>413</v>
      </c>
      <c r="E19" s="200"/>
      <c r="I19" s="147" t="s">
        <v>175</v>
      </c>
      <c r="J19" s="150">
        <v>2.12</v>
      </c>
      <c r="K19" s="154">
        <f>(J15/3+J14)/3358</f>
        <v>2.1201111772880683</v>
      </c>
      <c r="L19" s="74"/>
    </row>
    <row r="20" spans="2:12">
      <c r="B20" s="96" t="s">
        <v>9</v>
      </c>
      <c r="C20" s="95">
        <f>C21+C24+C27+C30+C33+C36</f>
        <v>528457.93333200004</v>
      </c>
      <c r="D20" s="97"/>
      <c r="E20" s="200"/>
      <c r="I20" s="151" t="s">
        <v>176</v>
      </c>
      <c r="J20" s="151">
        <v>1.76</v>
      </c>
      <c r="K20" s="154">
        <f>J7/115</f>
        <v>2.2000000000000002</v>
      </c>
      <c r="L20" s="74" t="s">
        <v>438</v>
      </c>
    </row>
    <row r="21" spans="2:12" ht="25.5">
      <c r="B21" s="78" t="s">
        <v>75</v>
      </c>
      <c r="C21" s="98">
        <f>C22+C23</f>
        <v>99961.898100000006</v>
      </c>
      <c r="D21" s="99"/>
      <c r="E21" s="200"/>
      <c r="I21" s="152" t="s">
        <v>177</v>
      </c>
      <c r="J21" s="153">
        <v>1.52</v>
      </c>
      <c r="K21" s="154">
        <f>J24/820</f>
        <v>1.5170731707317073</v>
      </c>
      <c r="L21" s="74"/>
    </row>
    <row r="22" spans="2:12">
      <c r="B22" s="100" t="s">
        <v>63</v>
      </c>
      <c r="C22" s="178">
        <f>407.2*19.94*12</f>
        <v>97434.816000000006</v>
      </c>
      <c r="D22" s="181" t="s">
        <v>414</v>
      </c>
      <c r="E22" s="200" t="s">
        <v>99</v>
      </c>
      <c r="I22" s="74" t="s">
        <v>178</v>
      </c>
      <c r="J22" s="74">
        <v>1.5</v>
      </c>
      <c r="K22" s="148"/>
      <c r="L22" s="74"/>
    </row>
    <row r="23" spans="2:12" ht="25.5">
      <c r="B23" s="100" t="s">
        <v>64</v>
      </c>
      <c r="C23" s="288">
        <f>0.75*(232.8*1.18*6+243.11*1.18*6)</f>
        <v>2527.0821000000001</v>
      </c>
      <c r="D23" s="289" t="s">
        <v>415</v>
      </c>
      <c r="E23" s="200" t="s">
        <v>99</v>
      </c>
      <c r="I23" s="74" t="s">
        <v>179</v>
      </c>
      <c r="J23" s="74"/>
      <c r="K23" s="148"/>
      <c r="L23" s="74"/>
    </row>
    <row r="24" spans="2:12">
      <c r="B24" s="78" t="s">
        <v>416</v>
      </c>
      <c r="C24" s="98">
        <f>C25+C26</f>
        <v>13563.266412000001</v>
      </c>
      <c r="D24" s="99"/>
      <c r="E24" s="200"/>
      <c r="I24" s="148" t="s">
        <v>180</v>
      </c>
      <c r="J24" s="148">
        <f>594+650</f>
        <v>1244</v>
      </c>
      <c r="K24" s="148"/>
      <c r="L24" s="74"/>
    </row>
    <row r="25" spans="2:12">
      <c r="B25" s="100" t="s">
        <v>63</v>
      </c>
      <c r="C25" s="178">
        <f>52.6*19.94*12</f>
        <v>12586.128000000001</v>
      </c>
      <c r="D25" s="181" t="s">
        <v>417</v>
      </c>
      <c r="E25" s="200" t="s">
        <v>99</v>
      </c>
      <c r="I25" s="74" t="s">
        <v>185</v>
      </c>
      <c r="J25" s="74" t="s">
        <v>192</v>
      </c>
      <c r="K25" s="74"/>
      <c r="L25" s="74"/>
    </row>
    <row r="26" spans="2:12" ht="25.5">
      <c r="B26" s="100" t="s">
        <v>64</v>
      </c>
      <c r="C26" s="288">
        <f>0.29*(232.8*1.18*6+243.11*1.18*6)</f>
        <v>977.13841200000002</v>
      </c>
      <c r="D26" s="289" t="s">
        <v>312</v>
      </c>
      <c r="E26" s="200" t="s">
        <v>99</v>
      </c>
    </row>
    <row r="27" spans="2:12">
      <c r="B27" s="78" t="s">
        <v>76</v>
      </c>
      <c r="C27" s="98">
        <f>C28+C29</f>
        <v>76282.464000000007</v>
      </c>
      <c r="D27" s="99"/>
      <c r="E27" s="200"/>
    </row>
    <row r="28" spans="2:12">
      <c r="B28" s="100" t="s">
        <v>63</v>
      </c>
      <c r="C28" s="178">
        <f>318.8*19.94*12</f>
        <v>76282.464000000007</v>
      </c>
      <c r="D28" s="181" t="s">
        <v>420</v>
      </c>
      <c r="E28" s="200" t="s">
        <v>99</v>
      </c>
    </row>
    <row r="29" spans="2:12" ht="25.5">
      <c r="B29" s="100" t="s">
        <v>64</v>
      </c>
      <c r="C29" s="288">
        <f>0*(232.8*1.18*6+243.11*1.18*6)</f>
        <v>0</v>
      </c>
      <c r="D29" s="289" t="s">
        <v>308</v>
      </c>
      <c r="E29" s="200" t="s">
        <v>99</v>
      </c>
    </row>
    <row r="30" spans="2:12" ht="25.5">
      <c r="B30" s="78" t="s">
        <v>77</v>
      </c>
      <c r="C30" s="98">
        <f>C31+C32</f>
        <v>39769.287000000004</v>
      </c>
      <c r="D30" s="99"/>
      <c r="E30" s="200"/>
    </row>
    <row r="31" spans="2:12">
      <c r="B31" s="100" t="s">
        <v>63</v>
      </c>
      <c r="C31" s="178">
        <f>131*19.94*12</f>
        <v>31345.680000000004</v>
      </c>
      <c r="D31" s="181" t="s">
        <v>421</v>
      </c>
      <c r="E31" s="200" t="s">
        <v>99</v>
      </c>
    </row>
    <row r="32" spans="2:12" ht="25.5">
      <c r="B32" s="100" t="s">
        <v>64</v>
      </c>
      <c r="C32" s="288">
        <f>2.5*(232.8*1.18*6+243.11*1.18*6)</f>
        <v>8423.607</v>
      </c>
      <c r="D32" s="289" t="s">
        <v>422</v>
      </c>
      <c r="E32" s="200" t="s">
        <v>99</v>
      </c>
    </row>
    <row r="33" spans="2:5">
      <c r="B33" s="78" t="s">
        <v>193</v>
      </c>
      <c r="C33" s="98">
        <f>C34+C35</f>
        <v>298881.01782000001</v>
      </c>
      <c r="D33" s="216"/>
      <c r="E33" s="108"/>
    </row>
    <row r="34" spans="2:5">
      <c r="B34" s="100" t="s">
        <v>63</v>
      </c>
      <c r="C34" s="178">
        <f>958.3*19.94*12</f>
        <v>229302.024</v>
      </c>
      <c r="D34" s="181" t="s">
        <v>418</v>
      </c>
      <c r="E34" s="108" t="s">
        <v>99</v>
      </c>
    </row>
    <row r="35" spans="2:5" ht="25.5">
      <c r="B35" s="100" t="s">
        <v>64</v>
      </c>
      <c r="C35" s="288">
        <f>20.65*(232.8*1.18*6+243.11*1.18*6)</f>
        <v>69578.993820000003</v>
      </c>
      <c r="D35" s="289" t="s">
        <v>419</v>
      </c>
      <c r="E35" s="108" t="s">
        <v>99</v>
      </c>
    </row>
    <row r="36" spans="2:5" hidden="1">
      <c r="B36" s="78"/>
      <c r="C36" s="98"/>
      <c r="D36" s="216"/>
      <c r="E36" s="108"/>
    </row>
    <row r="37" spans="2:5" hidden="1">
      <c r="B37" s="100"/>
      <c r="C37" s="214"/>
      <c r="D37" s="215"/>
      <c r="E37" s="108"/>
    </row>
    <row r="38" spans="2:5" hidden="1">
      <c r="B38" s="100"/>
      <c r="C38" s="102"/>
      <c r="D38" s="182"/>
      <c r="E38" s="108"/>
    </row>
    <row r="39" spans="2:5" ht="15.75">
      <c r="B39" s="103" t="s">
        <v>10</v>
      </c>
      <c r="C39" s="65">
        <f>C18+C20</f>
        <v>3386826.9253320005</v>
      </c>
      <c r="D39" s="107"/>
      <c r="E39" s="108"/>
    </row>
    <row r="40" spans="2:5">
      <c r="B40" s="104" t="s">
        <v>11</v>
      </c>
      <c r="C40" s="65">
        <f>C41+C42+C43+C44+C45+C46</f>
        <v>6689.76</v>
      </c>
      <c r="D40" s="107"/>
      <c r="E40" s="108"/>
    </row>
    <row r="41" spans="2:5">
      <c r="B41" s="78" t="s">
        <v>12</v>
      </c>
      <c r="C41" s="65">
        <f>34.98*12</f>
        <v>419.76</v>
      </c>
      <c r="D41" s="107" t="s">
        <v>13</v>
      </c>
      <c r="E41" s="108" t="s">
        <v>99</v>
      </c>
    </row>
    <row r="42" spans="2:5">
      <c r="B42" s="78" t="s">
        <v>14</v>
      </c>
      <c r="C42" s="65">
        <f>137.5*12</f>
        <v>1650</v>
      </c>
      <c r="D42" s="107" t="s">
        <v>15</v>
      </c>
      <c r="E42" s="108" t="s">
        <v>99</v>
      </c>
    </row>
    <row r="43" spans="2:5">
      <c r="B43" s="78" t="s">
        <v>16</v>
      </c>
      <c r="C43" s="65">
        <f>123.75*12</f>
        <v>1485</v>
      </c>
      <c r="D43" s="107" t="s">
        <v>17</v>
      </c>
      <c r="E43" s="108" t="s">
        <v>99</v>
      </c>
    </row>
    <row r="44" spans="2:5">
      <c r="B44" s="78" t="s">
        <v>18</v>
      </c>
      <c r="C44" s="65">
        <f>123.75*12</f>
        <v>1485</v>
      </c>
      <c r="D44" s="107" t="s">
        <v>17</v>
      </c>
      <c r="E44" s="108" t="s">
        <v>99</v>
      </c>
    </row>
    <row r="45" spans="2:5">
      <c r="B45" s="78" t="s">
        <v>19</v>
      </c>
      <c r="C45" s="65">
        <f>150*12*0</f>
        <v>0</v>
      </c>
      <c r="D45" s="107" t="s">
        <v>20</v>
      </c>
      <c r="E45" s="108"/>
    </row>
    <row r="46" spans="2:5">
      <c r="B46" s="78" t="s">
        <v>69</v>
      </c>
      <c r="C46" s="65">
        <f>137.5*12</f>
        <v>1650</v>
      </c>
      <c r="D46" s="107" t="s">
        <v>15</v>
      </c>
      <c r="E46" s="108" t="s">
        <v>99</v>
      </c>
    </row>
    <row r="47" spans="2:5">
      <c r="B47" s="104" t="s">
        <v>21</v>
      </c>
      <c r="C47" s="65">
        <v>0</v>
      </c>
      <c r="D47" s="107"/>
      <c r="E47" s="108"/>
    </row>
    <row r="48" spans="2:5" ht="18.75">
      <c r="B48" s="105" t="s">
        <v>23</v>
      </c>
      <c r="C48" s="106">
        <f>C39+C40+C47</f>
        <v>3393516.6853320003</v>
      </c>
      <c r="D48" s="107"/>
      <c r="E48" s="108"/>
    </row>
    <row r="49" spans="2:9" ht="15.75">
      <c r="B49" s="91" t="s">
        <v>24</v>
      </c>
      <c r="C49" s="109" t="s">
        <v>5</v>
      </c>
      <c r="D49" s="110" t="s">
        <v>25</v>
      </c>
      <c r="E49" s="108"/>
    </row>
    <row r="50" spans="2:9" ht="15.75">
      <c r="B50" s="111" t="s">
        <v>26</v>
      </c>
      <c r="C50" s="95"/>
      <c r="D50" s="112"/>
      <c r="E50" s="108"/>
      <c r="H50" s="2"/>
    </row>
    <row r="51" spans="2:9" ht="51">
      <c r="B51" s="113" t="s">
        <v>27</v>
      </c>
      <c r="C51" s="290">
        <f>(2.12*(3565+200)*1.5*1.15*1.083*1.302*3)+(2.12*(3708+200)*1.5*1.15*1.083*1.302*9)+(0.1*4781*12)</f>
        <v>245349.46015805402</v>
      </c>
      <c r="D51" s="291" t="s">
        <v>423</v>
      </c>
      <c r="E51" s="200" t="s">
        <v>100</v>
      </c>
      <c r="H51" s="3"/>
      <c r="I51" s="62">
        <v>26694.9</v>
      </c>
    </row>
    <row r="52" spans="2:9" ht="25.5">
      <c r="B52" s="113" t="s">
        <v>28</v>
      </c>
      <c r="C52" s="300">
        <f>(1.52*9538.51*3)+(1.52*9921.13*9)</f>
        <v>179216.66400000002</v>
      </c>
      <c r="D52" s="304" t="s">
        <v>424</v>
      </c>
      <c r="E52" s="200" t="s">
        <v>101</v>
      </c>
      <c r="H52" s="3"/>
    </row>
    <row r="53" spans="2:9" ht="38.25">
      <c r="B53" s="113" t="s">
        <v>29</v>
      </c>
      <c r="C53" s="305">
        <f>(1.76*9538.51*3)+(1.76*9921.13*9)+(253*10.92431*12)</f>
        <v>240680.23716000002</v>
      </c>
      <c r="D53" s="306" t="s">
        <v>439</v>
      </c>
      <c r="E53" s="200" t="s">
        <v>100</v>
      </c>
      <c r="H53" s="3"/>
    </row>
    <row r="54" spans="2:9" s="7" customFormat="1" ht="51">
      <c r="B54" s="113" t="s">
        <v>30</v>
      </c>
      <c r="C54" s="292">
        <f>530*(360.84*0.025*3+362.52*0.025*3+382.25*0.025*6)</f>
        <v>59142.434999999998</v>
      </c>
      <c r="D54" s="293" t="s">
        <v>425</v>
      </c>
      <c r="E54" s="199" t="s">
        <v>101</v>
      </c>
      <c r="H54" s="3"/>
    </row>
    <row r="55" spans="2:9" ht="15.75">
      <c r="B55" s="113" t="s">
        <v>31</v>
      </c>
      <c r="C55" s="294">
        <f>(16.86+17.53)*253</f>
        <v>8700.67</v>
      </c>
      <c r="D55" s="295" t="s">
        <v>426</v>
      </c>
      <c r="E55" s="200" t="s">
        <v>102</v>
      </c>
      <c r="H55" s="3"/>
    </row>
    <row r="56" spans="2:9" ht="38.25" customHeight="1">
      <c r="B56" s="113" t="s">
        <v>32</v>
      </c>
      <c r="C56" s="294">
        <f>(49.72+51.71)*2*0</f>
        <v>0</v>
      </c>
      <c r="D56" s="295" t="s">
        <v>317</v>
      </c>
      <c r="E56" s="200"/>
      <c r="H56" s="3"/>
    </row>
    <row r="57" spans="2:9" ht="25.5">
      <c r="B57" s="113" t="s">
        <v>33</v>
      </c>
      <c r="C57" s="185">
        <f>0.26*(1969.9+5*10)*12</f>
        <v>6302.0880000000016</v>
      </c>
      <c r="D57" s="155" t="s">
        <v>229</v>
      </c>
      <c r="E57" s="200" t="s">
        <v>99</v>
      </c>
      <c r="H57" s="3"/>
    </row>
    <row r="58" spans="2:9" ht="15.75">
      <c r="B58" s="115" t="s">
        <v>34</v>
      </c>
      <c r="C58" s="185">
        <f>1.02*(1969.9+5*10)*4</f>
        <v>8241.1920000000009</v>
      </c>
      <c r="D58" s="155" t="s">
        <v>230</v>
      </c>
      <c r="E58" s="200" t="s">
        <v>103</v>
      </c>
      <c r="H58" s="3"/>
    </row>
    <row r="59" spans="2:9" ht="25.5">
      <c r="B59" s="94" t="s">
        <v>35</v>
      </c>
      <c r="C59" s="296">
        <f>(700.55*6+728.57*6)</f>
        <v>8574.7199999999993</v>
      </c>
      <c r="D59" s="297" t="s">
        <v>320</v>
      </c>
      <c r="E59" s="200"/>
      <c r="H59" s="3"/>
    </row>
    <row r="60" spans="2:9" ht="25.5">
      <c r="B60" s="94" t="s">
        <v>70</v>
      </c>
      <c r="C60" s="298">
        <f>(695.13*6+722.94*6)*5</f>
        <v>42542.1</v>
      </c>
      <c r="D60" s="297" t="s">
        <v>427</v>
      </c>
      <c r="E60" s="200" t="s">
        <v>99</v>
      </c>
      <c r="H60" s="3"/>
    </row>
    <row r="61" spans="2:9" ht="25.5">
      <c r="B61" s="94" t="s">
        <v>38</v>
      </c>
      <c r="C61" s="307">
        <f>((5338.98*1)+(3813.56*11))*5</f>
        <v>236440.7</v>
      </c>
      <c r="D61" s="308" t="s">
        <v>428</v>
      </c>
      <c r="E61" s="200" t="s">
        <v>99</v>
      </c>
      <c r="H61" s="3"/>
    </row>
    <row r="62" spans="2:9" s="74" customFormat="1" ht="15.75">
      <c r="B62" s="94" t="s">
        <v>146</v>
      </c>
      <c r="C62" s="207">
        <f>5*4190</f>
        <v>20950</v>
      </c>
      <c r="D62" s="221" t="s">
        <v>148</v>
      </c>
      <c r="E62" s="200" t="s">
        <v>147</v>
      </c>
      <c r="H62" s="68"/>
    </row>
    <row r="63" spans="2:9" s="74" customFormat="1" ht="15.75">
      <c r="B63" s="94" t="s">
        <v>216</v>
      </c>
      <c r="C63" s="305">
        <f>1747.55*12</f>
        <v>20970.599999999999</v>
      </c>
      <c r="D63" s="322" t="s">
        <v>231</v>
      </c>
      <c r="E63" s="200" t="s">
        <v>99</v>
      </c>
      <c r="H63" s="68"/>
    </row>
    <row r="64" spans="2:9" ht="50.25" customHeight="1">
      <c r="B64" s="94" t="s">
        <v>40</v>
      </c>
      <c r="C64" s="299">
        <f>530*(211.42*6*1.5/12+226.93*6*1.5/12)</f>
        <v>174244.125</v>
      </c>
      <c r="D64" s="297" t="s">
        <v>429</v>
      </c>
      <c r="E64" s="200" t="s">
        <v>101</v>
      </c>
      <c r="H64" s="3"/>
    </row>
    <row r="65" spans="2:8" ht="25.5">
      <c r="B65" s="94" t="s">
        <v>41</v>
      </c>
      <c r="C65" s="296">
        <f>24.19*(232.8*6+243.11*6)</f>
        <v>69073.577400000009</v>
      </c>
      <c r="D65" s="300" t="s">
        <v>430</v>
      </c>
      <c r="E65" s="200" t="s">
        <v>101</v>
      </c>
      <c r="H65" s="3"/>
    </row>
    <row r="66" spans="2:8" ht="15.75">
      <c r="B66" s="103" t="s">
        <v>42</v>
      </c>
      <c r="C66" s="224">
        <f>C51+C52+C53+C54+C55+C56+C57+C58+C59+C60+C61+C62+C64+C65+C63</f>
        <v>1320428.5687180541</v>
      </c>
      <c r="D66" s="225"/>
      <c r="E66" s="108"/>
    </row>
    <row r="67" spans="2:8">
      <c r="B67" s="113" t="s">
        <v>43</v>
      </c>
      <c r="C67" s="65"/>
      <c r="D67" s="83"/>
      <c r="E67" s="200"/>
    </row>
    <row r="68" spans="2:8" s="8" customFormat="1" ht="51">
      <c r="B68" s="119" t="s">
        <v>44</v>
      </c>
      <c r="C68" s="294">
        <f>(34.83*96.4189*3)+(34.83*100.2864*9)+(1.78*(C14+C15)*12)</f>
        <v>318497.38866900007</v>
      </c>
      <c r="D68" s="301" t="s">
        <v>431</v>
      </c>
      <c r="E68" s="204"/>
    </row>
    <row r="69" spans="2:8">
      <c r="B69" s="115" t="s">
        <v>45</v>
      </c>
      <c r="C69" s="65">
        <f>13.69*2167</f>
        <v>29666.23</v>
      </c>
      <c r="D69" s="83" t="s">
        <v>432</v>
      </c>
      <c r="E69" s="200" t="s">
        <v>104</v>
      </c>
    </row>
    <row r="70" spans="2:8" ht="89.25">
      <c r="B70" s="172" t="s">
        <v>94</v>
      </c>
      <c r="C70" s="70">
        <f>17.51*(C14+C15)</f>
        <v>227060.92500000002</v>
      </c>
      <c r="D70" s="83" t="s">
        <v>433</v>
      </c>
      <c r="E70" s="200"/>
    </row>
    <row r="71" spans="2:8" ht="51">
      <c r="B71" s="113" t="s">
        <v>46</v>
      </c>
      <c r="C71" s="294">
        <f>(632.04+251.07/3)*50429/1000</f>
        <v>36093.548170000002</v>
      </c>
      <c r="D71" s="301" t="s">
        <v>434</v>
      </c>
      <c r="E71" s="94" t="s">
        <v>105</v>
      </c>
    </row>
    <row r="72" spans="2:8" ht="63.75">
      <c r="B72" s="121" t="s">
        <v>47</v>
      </c>
      <c r="C72" s="302">
        <f>((1527.47/12*3*96.4189)+(1527.47/12*9*100.2864))+((1527.47/12*3*96.4189)+(1527.47/12*9*100.2864))/1.302*25%</f>
        <v>180837.31736552686</v>
      </c>
      <c r="D72" s="301" t="s">
        <v>435</v>
      </c>
      <c r="E72" s="200"/>
    </row>
    <row r="73" spans="2:8" ht="15.75">
      <c r="B73" s="122" t="s">
        <v>48</v>
      </c>
      <c r="C73" s="117">
        <f>C68+C69+C70+C71+C72</f>
        <v>792155.4092045268</v>
      </c>
      <c r="D73" s="118"/>
      <c r="E73" s="200"/>
    </row>
    <row r="74" spans="2:8">
      <c r="B74" s="121" t="s">
        <v>49</v>
      </c>
      <c r="C74" s="65"/>
      <c r="D74" s="83"/>
      <c r="E74" s="200"/>
    </row>
    <row r="75" spans="2:8" s="7" customFormat="1" ht="12.75">
      <c r="B75" s="123" t="s">
        <v>50</v>
      </c>
      <c r="C75" s="124"/>
      <c r="D75" s="125"/>
      <c r="E75" s="199"/>
    </row>
    <row r="76" spans="2:8">
      <c r="B76" s="121" t="s">
        <v>51</v>
      </c>
      <c r="C76" s="95"/>
      <c r="D76" s="126"/>
      <c r="E76" s="200"/>
    </row>
    <row r="77" spans="2:8">
      <c r="B77" s="121" t="s">
        <v>52</v>
      </c>
      <c r="C77" s="95"/>
      <c r="D77" s="126"/>
      <c r="E77" s="200"/>
    </row>
    <row r="78" spans="2:8">
      <c r="B78" s="121" t="s">
        <v>53</v>
      </c>
      <c r="C78" s="95"/>
      <c r="D78" s="126"/>
      <c r="E78" s="200"/>
    </row>
    <row r="79" spans="2:8">
      <c r="B79" s="121" t="s">
        <v>54</v>
      </c>
      <c r="C79" s="95"/>
      <c r="D79" s="126"/>
      <c r="E79" s="200"/>
    </row>
    <row r="80" spans="2:8" ht="15.75">
      <c r="B80" s="122" t="s">
        <v>55</v>
      </c>
      <c r="C80" s="127">
        <f>C75+C76</f>
        <v>0</v>
      </c>
      <c r="D80" s="128"/>
      <c r="E80" s="200"/>
    </row>
    <row r="81" spans="2:8">
      <c r="B81" s="129" t="s">
        <v>56</v>
      </c>
      <c r="C81" s="95">
        <f>3.05*(C14+C15)</f>
        <v>39550.875</v>
      </c>
      <c r="D81" s="126" t="s">
        <v>436</v>
      </c>
      <c r="E81" s="200"/>
    </row>
    <row r="82" spans="2:8" ht="15.75">
      <c r="B82" s="130" t="s">
        <v>57</v>
      </c>
      <c r="C82" s="131">
        <f>1.49*(C14+C15)</f>
        <v>19321.575000000001</v>
      </c>
      <c r="D82" s="131" t="s">
        <v>837</v>
      </c>
      <c r="E82" s="200"/>
      <c r="H82" s="4"/>
    </row>
    <row r="83" spans="2:8">
      <c r="B83" s="78" t="s">
        <v>58</v>
      </c>
      <c r="C83" s="95">
        <f>(C66+C73)*0.341</f>
        <v>720391.13647160027</v>
      </c>
      <c r="D83" s="126" t="s">
        <v>331</v>
      </c>
      <c r="E83" s="200"/>
    </row>
    <row r="84" spans="2:8" ht="38.25">
      <c r="B84" s="78" t="s">
        <v>95</v>
      </c>
      <c r="C84" s="131">
        <f>(C66+C73+C83)*0.132</f>
        <v>373952.71510003199</v>
      </c>
      <c r="D84" s="126" t="s">
        <v>332</v>
      </c>
      <c r="E84" s="200" t="s">
        <v>99</v>
      </c>
    </row>
    <row r="85" spans="2:8" ht="15.75">
      <c r="B85" s="157" t="s">
        <v>96</v>
      </c>
      <c r="C85" s="127">
        <f>C81+C82+C83+C84</f>
        <v>1153216.3015716323</v>
      </c>
      <c r="D85" s="128"/>
      <c r="E85" s="200"/>
    </row>
    <row r="86" spans="2:8">
      <c r="B86" s="78" t="s">
        <v>59</v>
      </c>
      <c r="C86" s="95">
        <f>(C66+C73+C80+C85)*3%</f>
        <v>97974.008384826404</v>
      </c>
      <c r="D86" s="126"/>
      <c r="E86" s="200"/>
    </row>
    <row r="87" spans="2:8" ht="15.75">
      <c r="B87" s="133" t="s">
        <v>23</v>
      </c>
      <c r="C87" s="134">
        <f>C66+C73+C80+C85+C86</f>
        <v>3363774.28787904</v>
      </c>
      <c r="D87" s="135"/>
      <c r="E87" s="200"/>
    </row>
    <row r="88" spans="2:8" ht="15.75">
      <c r="B88" s="133" t="s">
        <v>60</v>
      </c>
      <c r="C88" s="134">
        <f>C87*1.18</f>
        <v>3969253.6596972668</v>
      </c>
      <c r="D88" s="135"/>
      <c r="E88" s="108"/>
    </row>
    <row r="89" spans="2:8" ht="15.75">
      <c r="B89" s="136"/>
      <c r="C89" s="137">
        <f>C48-C88</f>
        <v>-575736.97436526651</v>
      </c>
      <c r="D89" s="138"/>
      <c r="E89" s="200"/>
    </row>
    <row r="90" spans="2:8" ht="30">
      <c r="B90" s="159" t="s">
        <v>106</v>
      </c>
      <c r="C90" s="188">
        <f>C88/(C14+C15)/12</f>
        <v>25.507702973441724</v>
      </c>
      <c r="D90" s="189" t="s">
        <v>232</v>
      </c>
      <c r="E90" s="108"/>
    </row>
    <row r="91" spans="2:8">
      <c r="B91" s="161"/>
      <c r="C91" s="190"/>
      <c r="D91" s="191"/>
      <c r="E91" s="205"/>
    </row>
    <row r="92" spans="2:8" ht="15" customHeight="1">
      <c r="B92" s="345" t="s">
        <v>97</v>
      </c>
      <c r="C92" s="345"/>
      <c r="D92" s="345"/>
      <c r="E92" s="303"/>
    </row>
    <row r="93" spans="2:8" ht="36.75" customHeight="1">
      <c r="B93" s="348" t="s">
        <v>334</v>
      </c>
      <c r="C93" s="348"/>
      <c r="D93" s="348"/>
      <c r="E93" s="348"/>
    </row>
    <row r="94" spans="2:8" ht="31.5" customHeight="1">
      <c r="B94" s="348" t="s">
        <v>335</v>
      </c>
      <c r="C94" s="348"/>
      <c r="D94" s="348"/>
      <c r="E94" s="348"/>
    </row>
    <row r="95" spans="2:8" ht="15" customHeight="1">
      <c r="B95" s="163"/>
      <c r="C95" s="192"/>
      <c r="D95" s="193"/>
      <c r="E95" s="174"/>
    </row>
    <row r="96" spans="2:8">
      <c r="B96" s="163"/>
      <c r="C96" s="192"/>
      <c r="D96" s="193"/>
      <c r="E96" s="174"/>
    </row>
    <row r="97" spans="2:5">
      <c r="B97" s="164"/>
      <c r="C97" s="194"/>
      <c r="D97" s="195"/>
      <c r="E97" s="174"/>
    </row>
    <row r="98" spans="2:5">
      <c r="B98" s="344" t="s">
        <v>213</v>
      </c>
      <c r="C98" s="344"/>
      <c r="D98" s="344"/>
    </row>
    <row r="102" spans="2:5" s="9" customFormat="1">
      <c r="B102" s="47"/>
      <c r="C102" s="47"/>
      <c r="D102" s="47"/>
    </row>
    <row r="103" spans="2:5" s="9" customFormat="1">
      <c r="B103" s="47"/>
      <c r="C103" s="47"/>
      <c r="D103" s="47"/>
    </row>
    <row r="104" spans="2:5" s="9" customFormat="1">
      <c r="B104" s="47"/>
      <c r="C104" s="47"/>
      <c r="D104" s="47"/>
    </row>
    <row r="105" spans="2:5" s="9" customFormat="1">
      <c r="B105" s="47"/>
      <c r="C105" s="47"/>
      <c r="D105" s="47"/>
    </row>
    <row r="106" spans="2:5" s="9" customFormat="1">
      <c r="B106" s="47"/>
      <c r="C106" s="47"/>
      <c r="D106" s="47"/>
    </row>
    <row r="107" spans="2:5" s="9" customFormat="1">
      <c r="B107" s="47"/>
      <c r="C107" s="47"/>
      <c r="D107" s="47"/>
    </row>
    <row r="108" spans="2:5" s="9" customFormat="1">
      <c r="B108" s="47"/>
      <c r="C108" s="47"/>
      <c r="D108" s="47"/>
    </row>
    <row r="109" spans="2:5" s="9" customFormat="1">
      <c r="B109" s="47"/>
      <c r="C109" s="47"/>
      <c r="D109" s="47"/>
    </row>
  </sheetData>
  <mergeCells count="6">
    <mergeCell ref="B98:D98"/>
    <mergeCell ref="B92:D92"/>
    <mergeCell ref="B10:E10"/>
    <mergeCell ref="B11:E12"/>
    <mergeCell ref="B93:E93"/>
    <mergeCell ref="B94:E94"/>
  </mergeCells>
  <pageMargins left="0.5" right="0.13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:L92"/>
  <sheetViews>
    <sheetView topLeftCell="B71" workbookViewId="0">
      <selection activeCell="C62" sqref="C62:C66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4.7109375" style="9" customWidth="1"/>
    <col min="6" max="6" width="5.28515625" style="62" customWidth="1"/>
    <col min="7" max="7" width="8.140625" style="62" customWidth="1"/>
    <col min="8" max="8" width="9.140625" style="62"/>
    <col min="9" max="9" width="17" style="62" customWidth="1"/>
    <col min="10" max="16384" width="9.140625" style="62"/>
  </cols>
  <sheetData>
    <row r="1" spans="2:12" ht="16.5" customHeight="1"/>
    <row r="2" spans="2:12" ht="16.5" customHeight="1">
      <c r="E2" s="9" t="s">
        <v>448</v>
      </c>
    </row>
    <row r="3" spans="2:12" ht="16.5" customHeight="1">
      <c r="D3" s="176" t="s">
        <v>0</v>
      </c>
    </row>
    <row r="4" spans="2:12" ht="16.5" customHeight="1">
      <c r="D4" s="176" t="s">
        <v>210</v>
      </c>
    </row>
    <row r="5" spans="2:12" ht="16.5" customHeight="1">
      <c r="D5" s="176" t="s">
        <v>1</v>
      </c>
      <c r="I5" s="146" t="s">
        <v>160</v>
      </c>
      <c r="J5" s="283">
        <v>24.74</v>
      </c>
      <c r="K5" s="148"/>
      <c r="L5" s="74"/>
    </row>
    <row r="6" spans="2:12" ht="16.5" customHeight="1">
      <c r="D6" s="176"/>
      <c r="I6" s="147" t="s">
        <v>162</v>
      </c>
      <c r="J6" s="147">
        <v>4937.5</v>
      </c>
      <c r="K6" s="148"/>
      <c r="L6" s="74"/>
    </row>
    <row r="7" spans="2:12" ht="16.5" customHeight="1">
      <c r="D7" s="176" t="s">
        <v>297</v>
      </c>
      <c r="I7" s="147" t="s">
        <v>163</v>
      </c>
      <c r="J7" s="147">
        <v>116</v>
      </c>
      <c r="K7" s="148"/>
      <c r="L7" s="74"/>
    </row>
    <row r="8" spans="2:12" ht="16.5" customHeight="1">
      <c r="D8" s="66"/>
      <c r="I8" s="147" t="s">
        <v>164</v>
      </c>
      <c r="J8" s="283">
        <v>167</v>
      </c>
      <c r="K8" s="148"/>
      <c r="L8" s="74"/>
    </row>
    <row r="9" spans="2:12" ht="16.5" customHeight="1">
      <c r="D9" s="66"/>
      <c r="I9" s="149" t="s">
        <v>165</v>
      </c>
      <c r="J9" s="147">
        <v>24577</v>
      </c>
      <c r="K9" s="148"/>
      <c r="L9" s="74"/>
    </row>
    <row r="10" spans="2:12" ht="16.5" customHeight="1">
      <c r="B10" s="346" t="s">
        <v>437</v>
      </c>
      <c r="C10" s="346"/>
      <c r="D10" s="346"/>
      <c r="E10" s="346"/>
      <c r="I10" s="147" t="s">
        <v>166</v>
      </c>
      <c r="J10" s="147">
        <v>420</v>
      </c>
      <c r="K10" s="148"/>
      <c r="L10" s="74"/>
    </row>
    <row r="11" spans="2:12" ht="16.5" customHeight="1">
      <c r="B11" s="347" t="s">
        <v>112</v>
      </c>
      <c r="C11" s="347"/>
      <c r="D11" s="347"/>
      <c r="E11" s="347"/>
      <c r="I11" s="147" t="s">
        <v>167</v>
      </c>
      <c r="J11" s="147">
        <v>794</v>
      </c>
      <c r="K11" s="148"/>
      <c r="L11" s="74"/>
    </row>
    <row r="12" spans="2:12" ht="16.5" customHeight="1">
      <c r="B12" s="347"/>
      <c r="C12" s="347"/>
      <c r="D12" s="347"/>
      <c r="E12" s="347"/>
      <c r="I12" s="147" t="s">
        <v>168</v>
      </c>
      <c r="J12" s="147">
        <v>2</v>
      </c>
      <c r="K12" s="148"/>
      <c r="L12" s="74"/>
    </row>
    <row r="13" spans="2:12" ht="16.5" customHeight="1">
      <c r="B13" s="208"/>
      <c r="C13" s="282"/>
      <c r="D13" s="282"/>
      <c r="I13" s="147" t="s">
        <v>169</v>
      </c>
      <c r="J13" s="147">
        <v>1</v>
      </c>
      <c r="K13" s="148"/>
      <c r="L13" s="74"/>
    </row>
    <row r="14" spans="2:12" ht="16.5" customHeight="1">
      <c r="B14" s="84" t="s">
        <v>2</v>
      </c>
      <c r="C14" s="85">
        <v>4937.5</v>
      </c>
      <c r="D14" s="77" t="s">
        <v>61</v>
      </c>
      <c r="I14" s="147" t="s">
        <v>170</v>
      </c>
      <c r="J14" s="283">
        <v>2379.4</v>
      </c>
      <c r="K14" s="148"/>
      <c r="L14" s="74"/>
    </row>
    <row r="15" spans="2:12" s="6" customFormat="1" ht="16.5" customHeight="1">
      <c r="B15" s="86" t="s">
        <v>3</v>
      </c>
      <c r="C15" s="87">
        <v>742.1</v>
      </c>
      <c r="D15" s="88"/>
      <c r="E15" s="89"/>
      <c r="I15" s="147" t="s">
        <v>171</v>
      </c>
      <c r="J15" s="285">
        <v>625.29999999999995</v>
      </c>
      <c r="K15" s="148"/>
    </row>
    <row r="16" spans="2:12" s="6" customFormat="1" ht="16.5" customHeight="1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2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645.01838375509999</v>
      </c>
      <c r="K17" s="148"/>
      <c r="L17" s="74"/>
    </row>
    <row r="18" spans="2:12">
      <c r="B18" s="93" t="s">
        <v>7</v>
      </c>
      <c r="C18" s="198">
        <f>C14*24.74*12</f>
        <v>1465844.9999999998</v>
      </c>
      <c r="D18" s="155" t="s">
        <v>440</v>
      </c>
      <c r="E18" s="199" t="s">
        <v>99</v>
      </c>
      <c r="G18" s="62">
        <v>1397114.9999999998</v>
      </c>
      <c r="I18" s="147" t="s">
        <v>174</v>
      </c>
      <c r="J18" s="147">
        <v>12.39</v>
      </c>
      <c r="K18" s="148"/>
      <c r="L18" s="74"/>
    </row>
    <row r="19" spans="2:12" ht="38.25">
      <c r="B19" s="94" t="s">
        <v>8</v>
      </c>
      <c r="C19" s="286">
        <f>167*(211.42*6*1.45/12+226.93*6*1.45/12)*1.18</f>
        <v>62626.406974999998</v>
      </c>
      <c r="D19" s="287" t="s">
        <v>441</v>
      </c>
      <c r="E19" s="200"/>
      <c r="G19" s="62">
        <v>55178.76617499999</v>
      </c>
      <c r="I19" s="147" t="s">
        <v>175</v>
      </c>
      <c r="J19" s="150">
        <v>0.77</v>
      </c>
      <c r="K19" s="154">
        <f>(J15/3+J14)/3358</f>
        <v>0.77064721064125474</v>
      </c>
      <c r="L19" s="74"/>
    </row>
    <row r="20" spans="2:12">
      <c r="B20" s="96" t="s">
        <v>9</v>
      </c>
      <c r="C20" s="95">
        <f>C21+C24+C27+C30</f>
        <v>216951.99350399998</v>
      </c>
      <c r="D20" s="97"/>
      <c r="E20" s="200"/>
      <c r="G20" s="62">
        <v>222538.87553999998</v>
      </c>
      <c r="I20" s="151" t="s">
        <v>176</v>
      </c>
      <c r="J20" s="151">
        <v>0.81</v>
      </c>
      <c r="K20" s="154">
        <f>J7/144</f>
        <v>0.80555555555555558</v>
      </c>
      <c r="L20" s="74" t="s">
        <v>191</v>
      </c>
    </row>
    <row r="21" spans="2:12">
      <c r="B21" s="78" t="s">
        <v>78</v>
      </c>
      <c r="C21" s="98">
        <f>C22+C23</f>
        <v>8765.3520000000008</v>
      </c>
      <c r="D21" s="99"/>
      <c r="E21" s="200"/>
      <c r="G21" s="62">
        <v>9915.1897799999988</v>
      </c>
      <c r="I21" s="152" t="s">
        <v>177</v>
      </c>
      <c r="J21" s="153">
        <v>0.83</v>
      </c>
      <c r="K21" s="154">
        <f>J24/1050</f>
        <v>0.8342857142857143</v>
      </c>
      <c r="L21" s="74"/>
    </row>
    <row r="22" spans="2:12">
      <c r="B22" s="100" t="s">
        <v>63</v>
      </c>
      <c r="C22" s="178">
        <f>31.8*22.97*12</f>
        <v>8765.3520000000008</v>
      </c>
      <c r="D22" s="181" t="s">
        <v>444</v>
      </c>
      <c r="E22" s="200" t="s">
        <v>99</v>
      </c>
      <c r="G22" s="62">
        <v>8998.1279999999988</v>
      </c>
      <c r="I22" s="74" t="s">
        <v>178</v>
      </c>
      <c r="J22" s="74">
        <v>1.45</v>
      </c>
      <c r="K22" s="148"/>
      <c r="L22" s="74"/>
    </row>
    <row r="23" spans="2:12" ht="25.5">
      <c r="B23" s="100" t="s">
        <v>64</v>
      </c>
      <c r="C23" s="288">
        <f>0*(232.8*1.18*6+243.11*1.18*6)</f>
        <v>0</v>
      </c>
      <c r="D23" s="289" t="s">
        <v>308</v>
      </c>
      <c r="E23" s="200" t="s">
        <v>99</v>
      </c>
      <c r="G23" s="62">
        <v>917.06178</v>
      </c>
      <c r="I23" s="74" t="s">
        <v>179</v>
      </c>
      <c r="J23" s="74"/>
      <c r="K23" s="148"/>
      <c r="L23" s="74"/>
    </row>
    <row r="24" spans="2:12">
      <c r="B24" s="78" t="s">
        <v>79</v>
      </c>
      <c r="C24" s="98">
        <f>C25+C26</f>
        <v>129727.19079599998</v>
      </c>
      <c r="D24" s="99"/>
      <c r="E24" s="200"/>
      <c r="G24" s="62">
        <v>132113.26673999999</v>
      </c>
      <c r="I24" s="148" t="s">
        <v>180</v>
      </c>
      <c r="J24" s="148">
        <f>195+681</f>
        <v>876</v>
      </c>
      <c r="K24" s="148"/>
      <c r="L24" s="74"/>
    </row>
    <row r="25" spans="2:12">
      <c r="B25" s="100" t="s">
        <v>63</v>
      </c>
      <c r="C25" s="178">
        <f>427*22.97*12</f>
        <v>117698.27999999998</v>
      </c>
      <c r="D25" s="181" t="s">
        <v>445</v>
      </c>
      <c r="E25" s="200" t="s">
        <v>99</v>
      </c>
      <c r="G25" s="62">
        <v>120823.92</v>
      </c>
      <c r="I25" s="74" t="s">
        <v>185</v>
      </c>
      <c r="J25" s="74" t="s">
        <v>194</v>
      </c>
      <c r="K25" s="74"/>
      <c r="L25" s="74"/>
    </row>
    <row r="26" spans="2:12" ht="25.5">
      <c r="B26" s="100" t="s">
        <v>64</v>
      </c>
      <c r="C26" s="288">
        <f>3.57*(232.8*1.18*6+243.11*1.18*6)</f>
        <v>12028.910796</v>
      </c>
      <c r="D26" s="289" t="s">
        <v>446</v>
      </c>
      <c r="E26" s="200" t="s">
        <v>99</v>
      </c>
      <c r="G26" s="62">
        <v>11289.346740000001</v>
      </c>
    </row>
    <row r="27" spans="2:12">
      <c r="B27" s="78" t="s">
        <v>80</v>
      </c>
      <c r="C27" s="98">
        <f>C28+C29</f>
        <v>23331.450707999997</v>
      </c>
      <c r="D27" s="99"/>
      <c r="E27" s="200"/>
      <c r="G27" s="62">
        <v>23918.419019999994</v>
      </c>
    </row>
    <row r="28" spans="2:12">
      <c r="B28" s="100" t="s">
        <v>63</v>
      </c>
      <c r="C28" s="178">
        <f>83.3*22.97*12</f>
        <v>22960.811999999998</v>
      </c>
      <c r="D28" s="181" t="s">
        <v>442</v>
      </c>
      <c r="E28" s="200" t="s">
        <v>99</v>
      </c>
      <c r="G28" s="62">
        <v>23570.567999999996</v>
      </c>
    </row>
    <row r="29" spans="2:12" ht="25.5">
      <c r="B29" s="100" t="s">
        <v>64</v>
      </c>
      <c r="C29" s="288">
        <f>0.11*(232.8*1.18*6+243.11*1.18*6)</f>
        <v>370.63870800000001</v>
      </c>
      <c r="D29" s="289" t="s">
        <v>443</v>
      </c>
      <c r="E29" s="200" t="s">
        <v>99</v>
      </c>
      <c r="G29" s="62">
        <v>347.85102000000001</v>
      </c>
    </row>
    <row r="30" spans="2:12" s="74" customFormat="1">
      <c r="B30" s="78" t="s">
        <v>233</v>
      </c>
      <c r="C30" s="98">
        <f>C31+C32</f>
        <v>55128</v>
      </c>
      <c r="D30" s="99"/>
      <c r="E30" s="200"/>
      <c r="G30" s="74">
        <v>56592</v>
      </c>
    </row>
    <row r="31" spans="2:12" s="74" customFormat="1">
      <c r="B31" s="100" t="s">
        <v>63</v>
      </c>
      <c r="C31" s="178">
        <f>200*22.97*12</f>
        <v>55128</v>
      </c>
      <c r="D31" s="181" t="s">
        <v>447</v>
      </c>
      <c r="E31" s="200" t="s">
        <v>99</v>
      </c>
      <c r="G31" s="74">
        <v>56592</v>
      </c>
    </row>
    <row r="32" spans="2:12" s="74" customFormat="1" ht="25.5">
      <c r="B32" s="100" t="s">
        <v>64</v>
      </c>
      <c r="C32" s="288">
        <f>0*(232.8*1.18*6+243.11*1.18*6)</f>
        <v>0</v>
      </c>
      <c r="D32" s="289" t="s">
        <v>308</v>
      </c>
      <c r="E32" s="200" t="s">
        <v>99</v>
      </c>
      <c r="G32" s="74">
        <v>0</v>
      </c>
    </row>
    <row r="33" spans="2:8" ht="15.75">
      <c r="B33" s="103" t="s">
        <v>10</v>
      </c>
      <c r="C33" s="65">
        <f>C18+C20</f>
        <v>1682796.9935039997</v>
      </c>
      <c r="D33" s="83"/>
      <c r="E33" s="200"/>
      <c r="G33" s="62">
        <v>1619653.8755399997</v>
      </c>
    </row>
    <row r="34" spans="2:8">
      <c r="B34" s="104" t="s">
        <v>11</v>
      </c>
      <c r="C34" s="65">
        <f>C35+C36+C37+C38+C39+C40</f>
        <v>6839.76</v>
      </c>
      <c r="D34" s="83"/>
      <c r="E34" s="200"/>
      <c r="G34" s="62">
        <v>6839.76</v>
      </c>
    </row>
    <row r="35" spans="2:8">
      <c r="B35" s="78" t="s">
        <v>12</v>
      </c>
      <c r="C35" s="65">
        <f>34.98*12</f>
        <v>419.76</v>
      </c>
      <c r="D35" s="83" t="s">
        <v>13</v>
      </c>
      <c r="E35" s="200" t="s">
        <v>99</v>
      </c>
      <c r="G35" s="62">
        <v>419.76</v>
      </c>
    </row>
    <row r="36" spans="2:8">
      <c r="B36" s="78" t="s">
        <v>14</v>
      </c>
      <c r="C36" s="65">
        <f>137.5*12</f>
        <v>1650</v>
      </c>
      <c r="D36" s="83" t="s">
        <v>15</v>
      </c>
      <c r="E36" s="200" t="s">
        <v>99</v>
      </c>
      <c r="G36" s="62">
        <v>1650</v>
      </c>
    </row>
    <row r="37" spans="2:8">
      <c r="B37" s="78" t="s">
        <v>16</v>
      </c>
      <c r="C37" s="65">
        <f>123.75*12</f>
        <v>1485</v>
      </c>
      <c r="D37" s="83" t="s">
        <v>17</v>
      </c>
      <c r="E37" s="200" t="s">
        <v>99</v>
      </c>
      <c r="G37" s="62">
        <v>1485</v>
      </c>
    </row>
    <row r="38" spans="2:8">
      <c r="B38" s="78" t="s">
        <v>18</v>
      </c>
      <c r="C38" s="65">
        <f>123.75*12</f>
        <v>1485</v>
      </c>
      <c r="D38" s="83" t="s">
        <v>17</v>
      </c>
      <c r="E38" s="200" t="s">
        <v>99</v>
      </c>
      <c r="G38" s="62">
        <v>1485</v>
      </c>
    </row>
    <row r="39" spans="2:8">
      <c r="B39" s="78" t="s">
        <v>19</v>
      </c>
      <c r="C39" s="65">
        <f>150*12</f>
        <v>1800</v>
      </c>
      <c r="D39" s="107" t="s">
        <v>20</v>
      </c>
      <c r="E39" s="200" t="s">
        <v>99</v>
      </c>
      <c r="G39" s="62">
        <v>1800</v>
      </c>
    </row>
    <row r="40" spans="2:8">
      <c r="B40" s="78" t="s">
        <v>69</v>
      </c>
      <c r="C40" s="65">
        <f>137.5*12*0</f>
        <v>0</v>
      </c>
      <c r="D40" s="107" t="s">
        <v>15</v>
      </c>
      <c r="E40" s="108"/>
      <c r="G40" s="62">
        <v>0</v>
      </c>
    </row>
    <row r="41" spans="2:8">
      <c r="B41" s="104" t="s">
        <v>21</v>
      </c>
      <c r="C41" s="65">
        <v>0</v>
      </c>
      <c r="D41" s="107"/>
      <c r="E41" s="108"/>
      <c r="G41" s="62">
        <v>0</v>
      </c>
    </row>
    <row r="42" spans="2:8" ht="18.75">
      <c r="B42" s="105" t="s">
        <v>23</v>
      </c>
      <c r="C42" s="106">
        <f>C33+C34+C41</f>
        <v>1689636.7535039997</v>
      </c>
      <c r="D42" s="107"/>
      <c r="E42" s="108"/>
      <c r="G42" s="62">
        <v>1626493.6355399997</v>
      </c>
    </row>
    <row r="43" spans="2:8" ht="15.75">
      <c r="B43" s="91" t="s">
        <v>24</v>
      </c>
      <c r="C43" s="109" t="s">
        <v>5</v>
      </c>
      <c r="D43" s="110" t="s">
        <v>25</v>
      </c>
      <c r="E43" s="108"/>
      <c r="G43" s="62" t="s">
        <v>5</v>
      </c>
    </row>
    <row r="44" spans="2:8" ht="15.75">
      <c r="B44" s="111" t="s">
        <v>26</v>
      </c>
      <c r="C44" s="95"/>
      <c r="D44" s="112"/>
      <c r="E44" s="108"/>
      <c r="H44" s="2"/>
    </row>
    <row r="45" spans="2:8" ht="51">
      <c r="B45" s="113" t="s">
        <v>27</v>
      </c>
      <c r="C45" s="290">
        <f>(0.77*(3565+200)*1.5*1.15*1.083*1.302*3)+(0.77*(3708+200)*1.5*1.15*1.083*1.302*9)+(0.1*2379.4*12)</f>
        <v>89884.261283821499</v>
      </c>
      <c r="D45" s="291" t="s">
        <v>449</v>
      </c>
      <c r="E45" s="200" t="s">
        <v>100</v>
      </c>
      <c r="G45" s="62">
        <v>87046.824164638514</v>
      </c>
      <c r="H45" s="3"/>
    </row>
    <row r="46" spans="2:8" ht="25.5">
      <c r="B46" s="113" t="s">
        <v>28</v>
      </c>
      <c r="C46" s="300">
        <f>(0.83*9538.51*3)+(0.83*9921.13*9)</f>
        <v>97861.730999999985</v>
      </c>
      <c r="D46" s="304" t="s">
        <v>450</v>
      </c>
      <c r="E46" s="200" t="s">
        <v>101</v>
      </c>
      <c r="G46" s="62">
        <v>94632.698999999993</v>
      </c>
      <c r="H46" s="3"/>
    </row>
    <row r="47" spans="2:8" ht="38.25">
      <c r="B47" s="113" t="s">
        <v>29</v>
      </c>
      <c r="C47" s="305">
        <f>(0.81*9538.51*3)+(0.81*9921.13*9)+(116*11.48767*12)</f>
        <v>111494.45363999999</v>
      </c>
      <c r="D47" s="306" t="s">
        <v>451</v>
      </c>
      <c r="E47" s="200" t="s">
        <v>100</v>
      </c>
      <c r="G47" s="62">
        <v>107753.63412</v>
      </c>
      <c r="H47" s="3"/>
    </row>
    <row r="48" spans="2:8" s="7" customFormat="1" ht="51">
      <c r="B48" s="113" t="s">
        <v>30</v>
      </c>
      <c r="C48" s="292">
        <f>167*(360.84*0.025*3+362.52*0.025*3+382.25*0.025*6)</f>
        <v>18635.446500000002</v>
      </c>
      <c r="D48" s="293" t="s">
        <v>452</v>
      </c>
      <c r="E48" s="199" t="s">
        <v>101</v>
      </c>
      <c r="G48" s="7">
        <v>13690.115399999999</v>
      </c>
      <c r="H48" s="3"/>
    </row>
    <row r="49" spans="2:8" ht="15.75">
      <c r="B49" s="113" t="s">
        <v>31</v>
      </c>
      <c r="C49" s="294">
        <f>(16.86+17.53)*116</f>
        <v>3989.2400000000002</v>
      </c>
      <c r="D49" s="295" t="s">
        <v>453</v>
      </c>
      <c r="E49" s="200" t="s">
        <v>102</v>
      </c>
      <c r="G49" s="62">
        <v>4007.7999999999997</v>
      </c>
      <c r="H49" s="3"/>
    </row>
    <row r="50" spans="2:8" ht="38.25" customHeight="1">
      <c r="B50" s="113" t="s">
        <v>32</v>
      </c>
      <c r="C50" s="294">
        <f>(49.72+51.71)*2*0</f>
        <v>0</v>
      </c>
      <c r="D50" s="295" t="s">
        <v>317</v>
      </c>
      <c r="E50" s="200"/>
      <c r="G50" s="62">
        <v>0</v>
      </c>
      <c r="H50" s="3"/>
    </row>
    <row r="51" spans="2:8" ht="15.75">
      <c r="B51" s="113" t="s">
        <v>33</v>
      </c>
      <c r="C51" s="185">
        <f>0.26*(1420+1*10)*12</f>
        <v>4461.6000000000004</v>
      </c>
      <c r="D51" s="155" t="s">
        <v>234</v>
      </c>
      <c r="E51" s="200" t="s">
        <v>99</v>
      </c>
      <c r="G51" s="62">
        <v>4461.6000000000004</v>
      </c>
      <c r="H51" s="3"/>
    </row>
    <row r="52" spans="2:8" ht="19.5" customHeight="1">
      <c r="B52" s="115" t="s">
        <v>34</v>
      </c>
      <c r="C52" s="185">
        <f>1.02*(420+1*10)*4</f>
        <v>1754.4</v>
      </c>
      <c r="D52" s="155" t="s">
        <v>235</v>
      </c>
      <c r="E52" s="200" t="s">
        <v>103</v>
      </c>
      <c r="G52" s="62">
        <v>1754.4</v>
      </c>
      <c r="H52" s="3"/>
    </row>
    <row r="53" spans="2:8" ht="25.5">
      <c r="B53" s="94" t="s">
        <v>35</v>
      </c>
      <c r="C53" s="296">
        <f>(700.55*6+728.57*6)</f>
        <v>8574.7199999999993</v>
      </c>
      <c r="D53" s="297" t="s">
        <v>320</v>
      </c>
      <c r="E53" s="200"/>
      <c r="G53" s="62">
        <v>8612.5799999999981</v>
      </c>
      <c r="H53" s="3"/>
    </row>
    <row r="54" spans="2:8" ht="25.5">
      <c r="B54" s="94" t="s">
        <v>81</v>
      </c>
      <c r="C54" s="309">
        <f>116*(42.9*6+44.62*6)</f>
        <v>60913.919999999984</v>
      </c>
      <c r="D54" s="309" t="s">
        <v>454</v>
      </c>
      <c r="E54" s="200" t="s">
        <v>99</v>
      </c>
      <c r="G54" s="62">
        <v>61178.399999999994</v>
      </c>
      <c r="H54" s="3"/>
    </row>
    <row r="55" spans="2:8" ht="15.75">
      <c r="B55" s="94" t="s">
        <v>216</v>
      </c>
      <c r="C55" s="305">
        <f>334.64*12</f>
        <v>4015.68</v>
      </c>
      <c r="D55" s="322" t="s">
        <v>236</v>
      </c>
      <c r="E55" s="200" t="s">
        <v>99</v>
      </c>
      <c r="G55" s="62">
        <v>4015.68</v>
      </c>
      <c r="H55" s="3"/>
    </row>
    <row r="56" spans="2:8" ht="25.5">
      <c r="B56" s="94" t="s">
        <v>38</v>
      </c>
      <c r="C56" s="307">
        <f>((5338.98*1)+(3813.56*11))*2</f>
        <v>94576.28</v>
      </c>
      <c r="D56" s="308" t="s">
        <v>455</v>
      </c>
      <c r="E56" s="200" t="s">
        <v>99</v>
      </c>
      <c r="G56" s="62">
        <v>187443.12</v>
      </c>
      <c r="H56" s="3"/>
    </row>
    <row r="57" spans="2:8" s="74" customFormat="1" ht="15.75">
      <c r="B57" s="94" t="s">
        <v>146</v>
      </c>
      <c r="C57" s="70">
        <f>2*4190</f>
        <v>8380</v>
      </c>
      <c r="D57" s="187" t="s">
        <v>145</v>
      </c>
      <c r="E57" s="200" t="s">
        <v>147</v>
      </c>
      <c r="G57" s="74">
        <v>8380</v>
      </c>
      <c r="H57" s="68"/>
    </row>
    <row r="58" spans="2:8" ht="50.25" customHeight="1">
      <c r="B58" s="94" t="s">
        <v>40</v>
      </c>
      <c r="C58" s="299">
        <f>167*(211.42*6*1.45/12+226.93*6*1.45/12)</f>
        <v>53073.22625</v>
      </c>
      <c r="D58" s="297" t="s">
        <v>456</v>
      </c>
      <c r="E58" s="200" t="s">
        <v>101</v>
      </c>
      <c r="G58" s="62">
        <v>46761.666249999995</v>
      </c>
      <c r="H58" s="3"/>
    </row>
    <row r="59" spans="2:8" ht="25.5">
      <c r="B59" s="94" t="s">
        <v>41</v>
      </c>
      <c r="C59" s="296">
        <f>3.68*(232.8*6+243.11*6)</f>
        <v>10508.0928</v>
      </c>
      <c r="D59" s="300" t="s">
        <v>457</v>
      </c>
      <c r="E59" s="200" t="s">
        <v>101</v>
      </c>
      <c r="G59" s="62">
        <v>10639.203000000001</v>
      </c>
      <c r="H59" s="3"/>
    </row>
    <row r="60" spans="2:8" ht="15.75">
      <c r="B60" s="116" t="s">
        <v>42</v>
      </c>
      <c r="C60" s="117">
        <f>C45+C46+C47+C48+C49+C50+C51+C52+C53+C54+C56+C57+C58+C59+C55</f>
        <v>568123.0514738214</v>
      </c>
      <c r="D60" s="118"/>
      <c r="E60" s="108"/>
      <c r="G60" s="62">
        <v>640377.72193463857</v>
      </c>
    </row>
    <row r="61" spans="2:8">
      <c r="B61" s="113" t="s">
        <v>43</v>
      </c>
      <c r="C61" s="65"/>
      <c r="D61" s="83"/>
      <c r="E61" s="200"/>
    </row>
    <row r="62" spans="2:8" s="8" customFormat="1" ht="51">
      <c r="B62" s="119" t="s">
        <v>44</v>
      </c>
      <c r="C62" s="294">
        <f>(12.39*96.4189*3)+(12.39*100.2864*9)+(1.78*(C14+C15)*12)</f>
        <v>136083.08297699998</v>
      </c>
      <c r="D62" s="301" t="s">
        <v>458</v>
      </c>
      <c r="E62" s="204"/>
      <c r="G62" s="8">
        <v>130788.20499</v>
      </c>
    </row>
    <row r="63" spans="2:8">
      <c r="B63" s="115" t="s">
        <v>45</v>
      </c>
      <c r="C63" s="65">
        <f>13.69*794</f>
        <v>10869.859999999999</v>
      </c>
      <c r="D63" s="83" t="s">
        <v>459</v>
      </c>
      <c r="E63" s="200" t="s">
        <v>104</v>
      </c>
      <c r="G63" s="62">
        <v>10329.94</v>
      </c>
    </row>
    <row r="64" spans="2:8" ht="89.25">
      <c r="B64" s="172" t="s">
        <v>94</v>
      </c>
      <c r="C64" s="70">
        <f>17.51*(C14+C15)</f>
        <v>99449.796000000017</v>
      </c>
      <c r="D64" s="83" t="s">
        <v>460</v>
      </c>
      <c r="E64" s="200"/>
      <c r="G64" s="62">
        <v>97518.732000000018</v>
      </c>
    </row>
    <row r="65" spans="2:8" ht="51">
      <c r="B65" s="113" t="s">
        <v>46</v>
      </c>
      <c r="C65" s="294">
        <f>(632.04+251.07/3)*24577/1000</f>
        <v>17590.496210000001</v>
      </c>
      <c r="D65" s="301" t="s">
        <v>461</v>
      </c>
      <c r="E65" s="94" t="s">
        <v>105</v>
      </c>
      <c r="G65" s="62">
        <v>17430.909556666669</v>
      </c>
    </row>
    <row r="66" spans="2:8" ht="51">
      <c r="B66" s="121" t="s">
        <v>47</v>
      </c>
      <c r="C66" s="302">
        <f>((645.02/12*3*96.4189)+(645.02/12*9*100.2864))+((645.02/12*3*96.4189)+(645.02/12*9*100.2864))/1.302*25%</f>
        <v>76363.978635987718</v>
      </c>
      <c r="D66" s="301" t="s">
        <v>462</v>
      </c>
      <c r="E66" s="200"/>
      <c r="G66" s="62">
        <v>73806.006204761914</v>
      </c>
    </row>
    <row r="67" spans="2:8" ht="15.75">
      <c r="B67" s="122" t="s">
        <v>48</v>
      </c>
      <c r="C67" s="117">
        <f>C62+C63+C64+C65+C66</f>
        <v>340357.21382298775</v>
      </c>
      <c r="D67" s="118"/>
      <c r="E67" s="200"/>
      <c r="G67" s="62">
        <v>329873.79275142861</v>
      </c>
    </row>
    <row r="68" spans="2:8">
      <c r="B68" s="121" t="s">
        <v>49</v>
      </c>
      <c r="C68" s="65"/>
      <c r="D68" s="83"/>
      <c r="E68" s="200"/>
    </row>
    <row r="69" spans="2:8" s="7" customFormat="1" ht="12.75">
      <c r="B69" s="123" t="s">
        <v>50</v>
      </c>
      <c r="C69" s="124"/>
      <c r="D69" s="125"/>
      <c r="E69" s="199"/>
    </row>
    <row r="70" spans="2:8">
      <c r="B70" s="121" t="s">
        <v>51</v>
      </c>
      <c r="C70" s="95"/>
      <c r="D70" s="126"/>
      <c r="E70" s="200"/>
    </row>
    <row r="71" spans="2:8">
      <c r="B71" s="121" t="s">
        <v>52</v>
      </c>
      <c r="C71" s="95"/>
      <c r="D71" s="126"/>
      <c r="E71" s="200"/>
    </row>
    <row r="72" spans="2:8">
      <c r="B72" s="121" t="s">
        <v>53</v>
      </c>
      <c r="C72" s="95"/>
      <c r="D72" s="126"/>
      <c r="E72" s="200"/>
    </row>
    <row r="73" spans="2:8">
      <c r="B73" s="121" t="s">
        <v>54</v>
      </c>
      <c r="C73" s="95"/>
      <c r="D73" s="126"/>
      <c r="E73" s="200"/>
    </row>
    <row r="74" spans="2:8" ht="15.75">
      <c r="B74" s="122" t="s">
        <v>55</v>
      </c>
      <c r="C74" s="127">
        <f>C69+C70</f>
        <v>0</v>
      </c>
      <c r="D74" s="128"/>
      <c r="E74" s="200"/>
      <c r="G74" s="62">
        <v>0</v>
      </c>
    </row>
    <row r="75" spans="2:8">
      <c r="B75" s="129" t="s">
        <v>56</v>
      </c>
      <c r="C75" s="95">
        <f>3.05*(C14+C15)</f>
        <v>17322.78</v>
      </c>
      <c r="D75" s="126" t="s">
        <v>463</v>
      </c>
      <c r="E75" s="200"/>
      <c r="G75" s="62">
        <v>16567.393199999999</v>
      </c>
    </row>
    <row r="76" spans="2:8" ht="15.75">
      <c r="B76" s="130" t="s">
        <v>57</v>
      </c>
      <c r="C76" s="131">
        <f>1.49*(C14+C15)</f>
        <v>8462.6040000000012</v>
      </c>
      <c r="D76" s="131" t="s">
        <v>838</v>
      </c>
      <c r="E76" s="200"/>
      <c r="G76" s="62">
        <v>9484.9320000000007</v>
      </c>
      <c r="H76" s="4"/>
    </row>
    <row r="77" spans="2:8">
      <c r="B77" s="78" t="s">
        <v>58</v>
      </c>
      <c r="C77" s="95">
        <f>(C60+C67)*0.341</f>
        <v>309791.77046621195</v>
      </c>
      <c r="D77" s="126" t="s">
        <v>331</v>
      </c>
      <c r="E77" s="200"/>
      <c r="G77" s="62">
        <v>312420.98772891361</v>
      </c>
    </row>
    <row r="78" spans="2:8" ht="38.25">
      <c r="B78" s="78" t="s">
        <v>95</v>
      </c>
      <c r="C78" s="131">
        <f>(C60+C67+C77)*0.132</f>
        <v>160811.90872071878</v>
      </c>
      <c r="D78" s="126" t="s">
        <v>332</v>
      </c>
      <c r="E78" s="200" t="s">
        <v>99</v>
      </c>
      <c r="G78" s="62">
        <v>125701.90523666811</v>
      </c>
    </row>
    <row r="79" spans="2:8" ht="15.75">
      <c r="B79" s="157" t="s">
        <v>96</v>
      </c>
      <c r="C79" s="127">
        <f>C75+C76+C77+C78</f>
        <v>496389.06318693073</v>
      </c>
      <c r="D79" s="128"/>
      <c r="E79" s="200"/>
      <c r="G79" s="62">
        <v>464175.21816558175</v>
      </c>
    </row>
    <row r="80" spans="2:8">
      <c r="B80" s="78" t="s">
        <v>59</v>
      </c>
      <c r="C80" s="95">
        <f>(C60+C67+C74+C79)*3%</f>
        <v>42146.079854512194</v>
      </c>
      <c r="D80" s="126"/>
      <c r="E80" s="200"/>
      <c r="G80" s="62">
        <v>43032.801985549464</v>
      </c>
    </row>
    <row r="81" spans="2:7" ht="15.75">
      <c r="B81" s="133" t="s">
        <v>23</v>
      </c>
      <c r="C81" s="134">
        <f>C60+C67+C74+C79+C80</f>
        <v>1447015.408338252</v>
      </c>
      <c r="D81" s="135"/>
      <c r="E81" s="108"/>
      <c r="G81" s="62">
        <v>1477459.5348371984</v>
      </c>
    </row>
    <row r="82" spans="2:7" ht="15.75">
      <c r="B82" s="133" t="s">
        <v>60</v>
      </c>
      <c r="C82" s="134">
        <f>C81*1.18</f>
        <v>1707478.1818391373</v>
      </c>
      <c r="D82" s="135"/>
      <c r="E82" s="200"/>
      <c r="G82" s="62">
        <v>1743402.2511078941</v>
      </c>
    </row>
    <row r="83" spans="2:7" ht="15.75">
      <c r="B83" s="136"/>
      <c r="C83" s="137">
        <f>C42-C82</f>
        <v>-17841.428335137665</v>
      </c>
      <c r="D83" s="138"/>
      <c r="E83" s="108"/>
      <c r="G83" s="62">
        <v>-116908.61556789442</v>
      </c>
    </row>
    <row r="84" spans="2:7" ht="30">
      <c r="B84" s="159" t="s">
        <v>106</v>
      </c>
      <c r="C84" s="188">
        <f>C82/(C14+C15)/12</f>
        <v>25.052793944396573</v>
      </c>
      <c r="D84" s="189" t="s">
        <v>237</v>
      </c>
      <c r="E84" s="226"/>
      <c r="G84" s="62">
        <v>25.579886070437677</v>
      </c>
    </row>
    <row r="85" spans="2:7">
      <c r="B85" s="161"/>
      <c r="C85" s="190"/>
      <c r="D85" s="191"/>
      <c r="E85" s="205"/>
    </row>
    <row r="86" spans="2:7" s="9" customFormat="1" ht="23.25" customHeight="1">
      <c r="B86" s="345" t="s">
        <v>97</v>
      </c>
      <c r="C86" s="345"/>
      <c r="D86" s="345"/>
      <c r="E86" s="303"/>
    </row>
    <row r="87" spans="2:7" s="9" customFormat="1" ht="35.25" customHeight="1">
      <c r="B87" s="348" t="s">
        <v>334</v>
      </c>
      <c r="C87" s="348"/>
      <c r="D87" s="348"/>
      <c r="E87" s="348"/>
    </row>
    <row r="88" spans="2:7" s="9" customFormat="1" ht="29.25" customHeight="1">
      <c r="B88" s="348" t="s">
        <v>335</v>
      </c>
      <c r="C88" s="348"/>
      <c r="D88" s="348"/>
      <c r="E88" s="348"/>
    </row>
    <row r="89" spans="2:7" s="9" customFormat="1">
      <c r="B89" s="163"/>
      <c r="C89" s="192"/>
      <c r="D89" s="193"/>
    </row>
    <row r="90" spans="2:7" s="9" customFormat="1">
      <c r="B90" s="163"/>
      <c r="C90" s="192"/>
      <c r="D90" s="193"/>
    </row>
    <row r="91" spans="2:7" s="9" customFormat="1">
      <c r="B91" s="164"/>
      <c r="C91" s="194"/>
      <c r="D91" s="195"/>
    </row>
    <row r="92" spans="2:7" s="9" customFormat="1">
      <c r="B92" s="344" t="s">
        <v>213</v>
      </c>
      <c r="C92" s="344"/>
      <c r="D92" s="344"/>
    </row>
  </sheetData>
  <mergeCells count="6">
    <mergeCell ref="B92:D92"/>
    <mergeCell ref="B86:D86"/>
    <mergeCell ref="B10:E10"/>
    <mergeCell ref="B11:E12"/>
    <mergeCell ref="B87:E87"/>
    <mergeCell ref="B88:E88"/>
  </mergeCells>
  <pageMargins left="0.19685039370078741" right="0.11811023622047245" top="0.23622047244094491" bottom="0.27559055118110237" header="0.15748031496062992" footer="0.15748031496062992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3:K102"/>
  <sheetViews>
    <sheetView workbookViewId="0">
      <selection activeCell="U16" sqref="U16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6.5703125" style="9" customWidth="1"/>
    <col min="6" max="6" width="4.85546875" style="62" customWidth="1"/>
    <col min="7" max="8" width="0" style="62" hidden="1" customWidth="1"/>
    <col min="9" max="9" width="16" style="62" hidden="1" customWidth="1"/>
    <col min="10" max="12" width="0" style="62" hidden="1" customWidth="1"/>
    <col min="13" max="16384" width="9.140625" style="62"/>
  </cols>
  <sheetData>
    <row r="3" spans="2:11" ht="15.75">
      <c r="D3" s="176" t="s">
        <v>0</v>
      </c>
      <c r="E3" s="174"/>
    </row>
    <row r="4" spans="2:11" ht="15.75">
      <c r="D4" s="176" t="s">
        <v>298</v>
      </c>
      <c r="E4" s="174"/>
      <c r="G4" s="220">
        <v>42795</v>
      </c>
    </row>
    <row r="5" spans="2:11" ht="15.75">
      <c r="D5" s="176" t="s">
        <v>206</v>
      </c>
      <c r="E5" s="174"/>
      <c r="I5" s="146" t="s">
        <v>160</v>
      </c>
      <c r="J5" s="283">
        <v>13.48</v>
      </c>
      <c r="K5" s="148" t="s">
        <v>186</v>
      </c>
    </row>
    <row r="6" spans="2:11" ht="15.75">
      <c r="D6" s="176"/>
      <c r="E6" s="174"/>
      <c r="I6" s="147" t="s">
        <v>162</v>
      </c>
      <c r="J6" s="147">
        <v>3245.2</v>
      </c>
      <c r="K6" s="148"/>
    </row>
    <row r="7" spans="2:11" ht="15.75">
      <c r="D7" s="176" t="s">
        <v>297</v>
      </c>
      <c r="E7" s="174"/>
      <c r="I7" s="147" t="s">
        <v>163</v>
      </c>
      <c r="J7" s="147">
        <v>80</v>
      </c>
      <c r="K7" s="148"/>
    </row>
    <row r="8" spans="2:11" ht="15.75">
      <c r="D8" s="66"/>
      <c r="I8" s="147" t="s">
        <v>164</v>
      </c>
      <c r="J8" s="283">
        <v>165</v>
      </c>
      <c r="K8" s="148"/>
    </row>
    <row r="9" spans="2:11" ht="15.75">
      <c r="D9" s="66"/>
      <c r="I9" s="149" t="s">
        <v>165</v>
      </c>
      <c r="J9" s="147">
        <v>12362</v>
      </c>
      <c r="K9" s="148"/>
    </row>
    <row r="10" spans="2:11" ht="33" customHeight="1">
      <c r="B10" s="346" t="s">
        <v>299</v>
      </c>
      <c r="C10" s="346"/>
      <c r="D10" s="346"/>
      <c r="E10" s="346"/>
      <c r="I10" s="147" t="s">
        <v>166</v>
      </c>
      <c r="J10" s="147">
        <v>15</v>
      </c>
      <c r="K10" s="148"/>
    </row>
    <row r="11" spans="2:11" ht="15" customHeight="1">
      <c r="B11" s="347" t="s">
        <v>113</v>
      </c>
      <c r="C11" s="347"/>
      <c r="D11" s="347"/>
      <c r="E11" s="347"/>
      <c r="I11" s="147" t="s">
        <v>167</v>
      </c>
      <c r="J11" s="147">
        <v>1150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3245.2</v>
      </c>
      <c r="D14" s="77" t="s">
        <v>61</v>
      </c>
      <c r="I14" s="147" t="s">
        <v>170</v>
      </c>
      <c r="J14" s="283">
        <v>1320.3</v>
      </c>
      <c r="K14" s="148"/>
    </row>
    <row r="15" spans="2:11" s="6" customFormat="1" ht="15.75">
      <c r="B15" s="86" t="s">
        <v>3</v>
      </c>
      <c r="C15" s="87">
        <v>391</v>
      </c>
      <c r="D15" s="88"/>
      <c r="E15" s="89"/>
      <c r="I15" s="147" t="s">
        <v>171</v>
      </c>
      <c r="J15" s="285">
        <v>2017.3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481.74799097497799</v>
      </c>
      <c r="K17" s="148"/>
    </row>
    <row r="18" spans="2:11">
      <c r="B18" s="93" t="s">
        <v>7</v>
      </c>
      <c r="C18" s="198">
        <f>C14*13.48*12</f>
        <v>524943.55200000003</v>
      </c>
      <c r="D18" s="155" t="s">
        <v>464</v>
      </c>
      <c r="E18" s="199" t="s">
        <v>99</v>
      </c>
      <c r="I18" s="147" t="s">
        <v>174</v>
      </c>
      <c r="J18" s="147">
        <v>10.6</v>
      </c>
      <c r="K18" s="148"/>
    </row>
    <row r="19" spans="2:11" ht="38.25">
      <c r="B19" s="94" t="s">
        <v>8</v>
      </c>
      <c r="C19" s="325">
        <f>165*(211.42*6*1.45/12+226.93*6*1.45/12)*1.18</f>
        <v>61876.390124999991</v>
      </c>
      <c r="D19" s="326" t="s">
        <v>469</v>
      </c>
      <c r="E19" s="200"/>
      <c r="I19" s="147" t="s">
        <v>175</v>
      </c>
      <c r="J19" s="150">
        <v>0.68</v>
      </c>
      <c r="K19" s="154">
        <f>(J15/3+J14)/2920</f>
        <v>0.68244292237442916</v>
      </c>
    </row>
    <row r="20" spans="2:11">
      <c r="B20" s="96" t="s">
        <v>9</v>
      </c>
      <c r="C20" s="95">
        <f>C21+C24</f>
        <v>71772.850284</v>
      </c>
      <c r="D20" s="97"/>
      <c r="E20" s="200"/>
      <c r="I20" s="151" t="s">
        <v>176</v>
      </c>
      <c r="J20" s="151"/>
      <c r="K20" s="154">
        <f>J7/144</f>
        <v>0.55555555555555558</v>
      </c>
    </row>
    <row r="21" spans="2:11">
      <c r="B21" s="78" t="s">
        <v>238</v>
      </c>
      <c r="C21" s="98">
        <f>C22+C23</f>
        <v>40467.656075999999</v>
      </c>
      <c r="D21" s="99"/>
      <c r="E21" s="200"/>
      <c r="I21" s="152" t="s">
        <v>177</v>
      </c>
      <c r="J21" s="153"/>
      <c r="K21" s="154">
        <f>J24/1180</f>
        <v>0</v>
      </c>
    </row>
    <row r="22" spans="2:11">
      <c r="B22" s="100" t="s">
        <v>63</v>
      </c>
      <c r="C22" s="198">
        <f>225.8*13.48*12</f>
        <v>36525.408000000003</v>
      </c>
      <c r="D22" s="229" t="s">
        <v>465</v>
      </c>
      <c r="E22" s="200" t="s">
        <v>99</v>
      </c>
      <c r="I22" s="74" t="s">
        <v>178</v>
      </c>
      <c r="J22" s="74">
        <v>1.45</v>
      </c>
      <c r="K22" s="148"/>
    </row>
    <row r="23" spans="2:11" ht="25.5">
      <c r="B23" s="100" t="s">
        <v>64</v>
      </c>
      <c r="C23" s="327">
        <f>1.17*(232.8*1.18*6+243.11*1.18*6)</f>
        <v>3942.2480759999999</v>
      </c>
      <c r="D23" s="328" t="s">
        <v>372</v>
      </c>
      <c r="E23" s="200" t="s">
        <v>99</v>
      </c>
      <c r="I23" s="74" t="s">
        <v>179</v>
      </c>
      <c r="J23" s="74"/>
      <c r="K23" s="148"/>
    </row>
    <row r="24" spans="2:11">
      <c r="B24" s="78" t="s">
        <v>82</v>
      </c>
      <c r="C24" s="98">
        <f>C25+C26</f>
        <v>31305.194207999997</v>
      </c>
      <c r="D24" s="99"/>
      <c r="E24" s="200"/>
      <c r="I24" s="148" t="s">
        <v>180</v>
      </c>
      <c r="J24" s="148"/>
      <c r="K24" s="148"/>
    </row>
    <row r="25" spans="2:11">
      <c r="B25" s="100" t="s">
        <v>63</v>
      </c>
      <c r="C25" s="198">
        <f>165.2*13.48*12</f>
        <v>26722.751999999997</v>
      </c>
      <c r="D25" s="229" t="s">
        <v>466</v>
      </c>
      <c r="E25" s="200" t="s">
        <v>99</v>
      </c>
      <c r="I25" s="74" t="s">
        <v>185</v>
      </c>
      <c r="J25" s="74">
        <v>310</v>
      </c>
      <c r="K25" s="74"/>
    </row>
    <row r="26" spans="2:11" ht="25.5">
      <c r="B26" s="100" t="s">
        <v>64</v>
      </c>
      <c r="C26" s="327">
        <f>1.36*(232.8*1.18*6+243.11*1.18*6)</f>
        <v>4582.4422080000004</v>
      </c>
      <c r="D26" s="328" t="s">
        <v>470</v>
      </c>
      <c r="E26" s="200" t="s">
        <v>99</v>
      </c>
    </row>
    <row r="27" spans="2:11" ht="15.75">
      <c r="B27" s="103" t="s">
        <v>10</v>
      </c>
      <c r="C27" s="65">
        <f>C18+C20</f>
        <v>596716.40228400007</v>
      </c>
      <c r="D27" s="83"/>
      <c r="E27" s="200"/>
    </row>
    <row r="28" spans="2:11">
      <c r="B28" s="104" t="s">
        <v>11</v>
      </c>
      <c r="C28" s="65">
        <f>C29+C30+C31+C32+C33+C34</f>
        <v>6839.76</v>
      </c>
      <c r="D28" s="83"/>
      <c r="E28" s="200"/>
    </row>
    <row r="29" spans="2:11">
      <c r="B29" s="78" t="s">
        <v>12</v>
      </c>
      <c r="C29" s="65">
        <f>34.98*12</f>
        <v>419.76</v>
      </c>
      <c r="D29" s="83" t="s">
        <v>13</v>
      </c>
      <c r="E29" s="200" t="s">
        <v>99</v>
      </c>
    </row>
    <row r="30" spans="2:11">
      <c r="B30" s="78" t="s">
        <v>14</v>
      </c>
      <c r="C30" s="65">
        <f>137.5*12</f>
        <v>1650</v>
      </c>
      <c r="D30" s="83" t="s">
        <v>15</v>
      </c>
      <c r="E30" s="200" t="s">
        <v>99</v>
      </c>
    </row>
    <row r="31" spans="2:11">
      <c r="B31" s="78" t="s">
        <v>16</v>
      </c>
      <c r="C31" s="65">
        <f>123.75*12</f>
        <v>1485</v>
      </c>
      <c r="D31" s="83" t="s">
        <v>17</v>
      </c>
      <c r="E31" s="200" t="s">
        <v>99</v>
      </c>
    </row>
    <row r="32" spans="2:11">
      <c r="B32" s="78" t="s">
        <v>18</v>
      </c>
      <c r="C32" s="65">
        <f>123.75*12</f>
        <v>1485</v>
      </c>
      <c r="D32" s="83" t="s">
        <v>17</v>
      </c>
      <c r="E32" s="200" t="s">
        <v>99</v>
      </c>
    </row>
    <row r="33" spans="2:8">
      <c r="B33" s="78" t="s">
        <v>19</v>
      </c>
      <c r="C33" s="65">
        <f>150*12</f>
        <v>1800</v>
      </c>
      <c r="D33" s="83" t="s">
        <v>20</v>
      </c>
      <c r="E33" s="200" t="s">
        <v>99</v>
      </c>
    </row>
    <row r="34" spans="2:8">
      <c r="B34" s="78" t="s">
        <v>69</v>
      </c>
      <c r="C34" s="65">
        <f>137.5*12*0</f>
        <v>0</v>
      </c>
      <c r="D34" s="83" t="s">
        <v>15</v>
      </c>
      <c r="E34" s="200"/>
    </row>
    <row r="35" spans="2:8">
      <c r="B35" s="104" t="s">
        <v>21</v>
      </c>
      <c r="C35" s="65">
        <v>0</v>
      </c>
      <c r="D35" s="83"/>
      <c r="E35" s="200"/>
    </row>
    <row r="36" spans="2:8" ht="18.75">
      <c r="B36" s="105" t="s">
        <v>23</v>
      </c>
      <c r="C36" s="106">
        <f>C27+C28+C35</f>
        <v>603556.16228400008</v>
      </c>
      <c r="D36" s="107"/>
      <c r="E36" s="108"/>
    </row>
    <row r="37" spans="2:8" ht="15.75">
      <c r="B37" s="91" t="s">
        <v>24</v>
      </c>
      <c r="C37" s="109" t="s">
        <v>5</v>
      </c>
      <c r="D37" s="110" t="s">
        <v>25</v>
      </c>
      <c r="E37" s="108"/>
    </row>
    <row r="38" spans="2:8" ht="15.75">
      <c r="B38" s="111" t="s">
        <v>26</v>
      </c>
      <c r="C38" s="95"/>
      <c r="D38" s="112"/>
      <c r="E38" s="108"/>
      <c r="H38" s="2"/>
    </row>
    <row r="39" spans="2:8" ht="51">
      <c r="B39" s="113" t="s">
        <v>27</v>
      </c>
      <c r="C39" s="329">
        <f>(0.68*(3565+200)*1.5*1.15*1.083*1.302*3)+(0.68*(3708+200)*1.5*1.15*1.083*1.302*9)+(0.1*1320.3*12)</f>
        <v>78441.122692206001</v>
      </c>
      <c r="D39" s="330" t="s">
        <v>471</v>
      </c>
      <c r="E39" s="200" t="s">
        <v>100</v>
      </c>
      <c r="H39" s="3"/>
    </row>
    <row r="40" spans="2:8" ht="15.75">
      <c r="B40" s="113" t="s">
        <v>28</v>
      </c>
      <c r="C40" s="183"/>
      <c r="D40" s="184"/>
      <c r="E40" s="200"/>
      <c r="H40" s="3"/>
    </row>
    <row r="41" spans="2:8" ht="15.75">
      <c r="B41" s="113" t="s">
        <v>29</v>
      </c>
      <c r="C41" s="183"/>
      <c r="D41" s="184"/>
      <c r="E41" s="200"/>
      <c r="H41" s="3"/>
    </row>
    <row r="42" spans="2:8" s="7" customFormat="1" ht="28.5" customHeight="1">
      <c r="B42" s="113" t="s">
        <v>30</v>
      </c>
      <c r="C42" s="331">
        <f>165*(360.84*0.025*3+362.52*0.025*3+382.25*0.025*6)</f>
        <v>18412.267500000002</v>
      </c>
      <c r="D42" s="332" t="s">
        <v>472</v>
      </c>
      <c r="E42" s="199" t="s">
        <v>101</v>
      </c>
      <c r="H42" s="3"/>
    </row>
    <row r="43" spans="2:8" ht="15.75">
      <c r="B43" s="113" t="s">
        <v>31</v>
      </c>
      <c r="C43" s="333">
        <f>(16.86+17.53)*80</f>
        <v>2751.2</v>
      </c>
      <c r="D43" s="334" t="s">
        <v>473</v>
      </c>
      <c r="E43" s="200" t="s">
        <v>102</v>
      </c>
      <c r="H43" s="3"/>
    </row>
    <row r="44" spans="2:8" ht="25.5" customHeight="1">
      <c r="B44" s="113" t="s">
        <v>32</v>
      </c>
      <c r="C44" s="333">
        <f>(49.72+51.71)*2*80</f>
        <v>16228.800000000001</v>
      </c>
      <c r="D44" s="334" t="s">
        <v>474</v>
      </c>
      <c r="E44" s="200"/>
      <c r="H44" s="3"/>
    </row>
    <row r="45" spans="2:8" ht="15.75">
      <c r="B45" s="113" t="s">
        <v>33</v>
      </c>
      <c r="C45" s="185">
        <f>0.26*(310)*12</f>
        <v>967.2</v>
      </c>
      <c r="D45" s="155" t="s">
        <v>467</v>
      </c>
      <c r="E45" s="200" t="s">
        <v>99</v>
      </c>
      <c r="H45" s="3"/>
    </row>
    <row r="46" spans="2:8" ht="18.75" customHeight="1">
      <c r="B46" s="115" t="s">
        <v>34</v>
      </c>
      <c r="C46" s="185">
        <f>1.02*(310)*4</f>
        <v>1264.8</v>
      </c>
      <c r="D46" s="155" t="s">
        <v>239</v>
      </c>
      <c r="E46" s="200" t="s">
        <v>103</v>
      </c>
      <c r="H46" s="3"/>
    </row>
    <row r="47" spans="2:8" ht="25.5">
      <c r="B47" s="94" t="s">
        <v>35</v>
      </c>
      <c r="C47" s="335">
        <f>(700.55*6+728.57*6)</f>
        <v>8574.7199999999993</v>
      </c>
      <c r="D47" s="336" t="s">
        <v>320</v>
      </c>
      <c r="E47" s="200" t="s">
        <v>99</v>
      </c>
      <c r="H47" s="3"/>
    </row>
    <row r="48" spans="2:8" ht="25.5">
      <c r="B48" s="94" t="s">
        <v>70</v>
      </c>
      <c r="C48" s="337">
        <f>(695.13*6+722.94*6)</f>
        <v>8508.42</v>
      </c>
      <c r="D48" s="336" t="s">
        <v>321</v>
      </c>
      <c r="E48" s="200" t="s">
        <v>99</v>
      </c>
      <c r="H48" s="3"/>
    </row>
    <row r="49" spans="2:8" ht="15.75">
      <c r="B49" s="94" t="s">
        <v>216</v>
      </c>
      <c r="C49" s="70">
        <f>353.51*12</f>
        <v>4242.12</v>
      </c>
      <c r="D49" s="186" t="s">
        <v>869</v>
      </c>
      <c r="E49" s="200" t="s">
        <v>99</v>
      </c>
      <c r="H49" s="3"/>
    </row>
    <row r="50" spans="2:8" ht="15.75" hidden="1">
      <c r="B50" s="94" t="s">
        <v>38</v>
      </c>
      <c r="C50" s="70">
        <f>0*12</f>
        <v>0</v>
      </c>
      <c r="D50" s="187" t="s">
        <v>83</v>
      </c>
      <c r="E50" s="108"/>
      <c r="H50" s="3"/>
    </row>
    <row r="51" spans="2:8" ht="50.25" customHeight="1">
      <c r="B51" s="94" t="s">
        <v>40</v>
      </c>
      <c r="C51" s="338">
        <f>165*(211.42*6*1.45/12+226.93*6*1.45/12)</f>
        <v>52437.618749999994</v>
      </c>
      <c r="D51" s="336" t="s">
        <v>475</v>
      </c>
      <c r="E51" s="200" t="s">
        <v>101</v>
      </c>
      <c r="H51" s="3"/>
    </row>
    <row r="52" spans="2:8" ht="25.5">
      <c r="B52" s="94" t="s">
        <v>41</v>
      </c>
      <c r="C52" s="335">
        <f>2.53*(232.8*6+243.11*6)</f>
        <v>7224.3137999999999</v>
      </c>
      <c r="D52" s="339" t="s">
        <v>476</v>
      </c>
      <c r="E52" s="200" t="s">
        <v>101</v>
      </c>
      <c r="H52" s="3"/>
    </row>
    <row r="53" spans="2:8" ht="15.75">
      <c r="B53" s="116" t="s">
        <v>42</v>
      </c>
      <c r="C53" s="117">
        <f>C39+C40+C41+C42+C43+C44+C45+C46+C47+C48+C50+C51+C52+C49</f>
        <v>199052.582742206</v>
      </c>
      <c r="D53" s="118"/>
      <c r="E53" s="108"/>
    </row>
    <row r="54" spans="2:8">
      <c r="B54" s="113" t="s">
        <v>43</v>
      </c>
      <c r="C54" s="65"/>
      <c r="D54" s="83"/>
      <c r="E54" s="200"/>
    </row>
    <row r="55" spans="2:8" s="8" customFormat="1" ht="51">
      <c r="B55" s="119" t="s">
        <v>44</v>
      </c>
      <c r="C55" s="333">
        <f>(10.6*96.4189*3)+(10.6*100.2864*9)+(1.78*(C14+C15)*12)</f>
        <v>90302.675579999981</v>
      </c>
      <c r="D55" s="340" t="s">
        <v>477</v>
      </c>
      <c r="E55" s="204"/>
    </row>
    <row r="56" spans="2:8">
      <c r="B56" s="115" t="s">
        <v>45</v>
      </c>
      <c r="C56" s="65">
        <f>13.69*1150</f>
        <v>15743.5</v>
      </c>
      <c r="D56" s="83" t="s">
        <v>478</v>
      </c>
      <c r="E56" s="200" t="s">
        <v>104</v>
      </c>
    </row>
    <row r="57" spans="2:8" ht="89.25">
      <c r="B57" s="172" t="s">
        <v>94</v>
      </c>
      <c r="C57" s="70">
        <f>17.51*(C14+C15)*0</f>
        <v>0</v>
      </c>
      <c r="D57" s="83" t="s">
        <v>479</v>
      </c>
      <c r="E57" s="200"/>
    </row>
    <row r="58" spans="2:8" ht="51">
      <c r="B58" s="113" t="s">
        <v>46</v>
      </c>
      <c r="C58" s="333">
        <f>(632.04+251.07/3)*12362/1000</f>
        <v>8847.8542600000001</v>
      </c>
      <c r="D58" s="340" t="s">
        <v>480</v>
      </c>
      <c r="E58" s="94" t="s">
        <v>105</v>
      </c>
    </row>
    <row r="59" spans="2:8" ht="51">
      <c r="B59" s="121" t="s">
        <v>47</v>
      </c>
      <c r="C59" s="341">
        <f>((481.75/12*3*96.4189)+(481.75/12*9*100.2864))+((481.75/12*3*96.4189)+(481.75/12*9*100.2864))/1.302*25%</f>
        <v>57034.427936943168</v>
      </c>
      <c r="D59" s="340" t="s">
        <v>481</v>
      </c>
      <c r="E59" s="200"/>
    </row>
    <row r="60" spans="2:8" ht="15.75">
      <c r="B60" s="122" t="s">
        <v>48</v>
      </c>
      <c r="C60" s="117">
        <f>C55+C56+C57+C58+C59</f>
        <v>171928.45777694313</v>
      </c>
      <c r="D60" s="118"/>
      <c r="E60" s="200"/>
    </row>
    <row r="61" spans="2:8">
      <c r="B61" s="121" t="s">
        <v>49</v>
      </c>
      <c r="C61" s="65"/>
      <c r="D61" s="83"/>
      <c r="E61" s="200"/>
    </row>
    <row r="62" spans="2:8" s="7" customFormat="1" ht="12.75">
      <c r="B62" s="123" t="s">
        <v>50</v>
      </c>
      <c r="C62" s="124"/>
      <c r="D62" s="125"/>
      <c r="E62" s="199"/>
    </row>
    <row r="63" spans="2:8">
      <c r="B63" s="121" t="s">
        <v>51</v>
      </c>
      <c r="C63" s="95"/>
      <c r="D63" s="126"/>
      <c r="E63" s="200"/>
    </row>
    <row r="64" spans="2:8">
      <c r="B64" s="121" t="s">
        <v>52</v>
      </c>
      <c r="C64" s="95"/>
      <c r="D64" s="126"/>
      <c r="E64" s="200"/>
    </row>
    <row r="65" spans="2:8">
      <c r="B65" s="121" t="s">
        <v>53</v>
      </c>
      <c r="C65" s="95"/>
      <c r="D65" s="126"/>
      <c r="E65" s="200"/>
    </row>
    <row r="66" spans="2:8">
      <c r="B66" s="121" t="s">
        <v>54</v>
      </c>
      <c r="C66" s="95"/>
      <c r="D66" s="126"/>
      <c r="E66" s="200"/>
    </row>
    <row r="67" spans="2:8" ht="15.75">
      <c r="B67" s="122" t="s">
        <v>55</v>
      </c>
      <c r="C67" s="127">
        <f>C62+C63</f>
        <v>0</v>
      </c>
      <c r="D67" s="128"/>
      <c r="E67" s="200"/>
    </row>
    <row r="68" spans="2:8">
      <c r="B68" s="129" t="s">
        <v>56</v>
      </c>
      <c r="C68" s="95">
        <f>3.05*(3245.2+391)</f>
        <v>11090.409999999998</v>
      </c>
      <c r="D68" s="126" t="s">
        <v>482</v>
      </c>
      <c r="E68" s="200"/>
    </row>
    <row r="69" spans="2:8" ht="15.75">
      <c r="B69" s="130" t="s">
        <v>57</v>
      </c>
      <c r="C69" s="131">
        <f>1.49*(3245.2+391)</f>
        <v>5417.9380000000001</v>
      </c>
      <c r="D69" s="319" t="s">
        <v>839</v>
      </c>
      <c r="E69" s="200"/>
      <c r="H69" s="4"/>
    </row>
    <row r="70" spans="2:8">
      <c r="B70" s="78" t="s">
        <v>58</v>
      </c>
      <c r="C70" s="95">
        <f>(C53+C60)*0.341</f>
        <v>126504.53481702987</v>
      </c>
      <c r="D70" s="126" t="s">
        <v>331</v>
      </c>
      <c r="E70" s="200"/>
    </row>
    <row r="71" spans="2:8" ht="38.25">
      <c r="B71" s="78" t="s">
        <v>95</v>
      </c>
      <c r="C71" s="131">
        <f>(C53+C60+C70)*0.132</f>
        <v>65668.095944375629</v>
      </c>
      <c r="D71" s="126" t="s">
        <v>332</v>
      </c>
      <c r="E71" s="200" t="s">
        <v>99</v>
      </c>
    </row>
    <row r="72" spans="2:8" ht="15.75">
      <c r="B72" s="157" t="s">
        <v>96</v>
      </c>
      <c r="C72" s="127">
        <f>C68+C69+C70+C71</f>
        <v>208680.97876140551</v>
      </c>
      <c r="D72" s="128"/>
      <c r="E72" s="200"/>
    </row>
    <row r="73" spans="2:8">
      <c r="B73" s="78" t="s">
        <v>59</v>
      </c>
      <c r="C73" s="95">
        <f>(C53+C60+C67+C72)*3%</f>
        <v>17389.860578416643</v>
      </c>
      <c r="D73" s="126"/>
      <c r="E73" s="200"/>
    </row>
    <row r="74" spans="2:8" ht="15.75">
      <c r="B74" s="133" t="s">
        <v>23</v>
      </c>
      <c r="C74" s="134">
        <f>C53+C60+C67+C72+C73</f>
        <v>597051.87985897134</v>
      </c>
      <c r="D74" s="135"/>
      <c r="E74" s="200"/>
    </row>
    <row r="75" spans="2:8" ht="15.75">
      <c r="B75" s="133" t="s">
        <v>60</v>
      </c>
      <c r="C75" s="134">
        <f>C74*1.18</f>
        <v>704521.21823358617</v>
      </c>
      <c r="D75" s="135"/>
      <c r="E75" s="108"/>
    </row>
    <row r="76" spans="2:8" ht="15.75">
      <c r="B76" s="136"/>
      <c r="C76" s="137">
        <f>C36-C75</f>
        <v>-100965.05594958609</v>
      </c>
      <c r="D76" s="138"/>
      <c r="E76" s="200"/>
    </row>
    <row r="77" spans="2:8" ht="30">
      <c r="B77" s="159" t="s">
        <v>106</v>
      </c>
      <c r="C77" s="188">
        <f>C75/(C14+C15)/12</f>
        <v>16.146004488054981</v>
      </c>
      <c r="D77" s="189" t="s">
        <v>468</v>
      </c>
      <c r="E77" s="226"/>
    </row>
    <row r="78" spans="2:8">
      <c r="B78" s="161"/>
      <c r="C78" s="190"/>
      <c r="D78" s="191"/>
      <c r="E78" s="205"/>
    </row>
    <row r="79" spans="2:8" ht="15" customHeight="1">
      <c r="B79" s="345" t="s">
        <v>97</v>
      </c>
      <c r="C79" s="345"/>
      <c r="D79" s="345"/>
      <c r="E79" s="303"/>
    </row>
    <row r="80" spans="2:8" ht="34.5" customHeight="1">
      <c r="B80" s="348" t="s">
        <v>334</v>
      </c>
      <c r="C80" s="348"/>
      <c r="D80" s="348"/>
      <c r="E80" s="348"/>
    </row>
    <row r="81" spans="2:5" ht="30.75" customHeight="1">
      <c r="B81" s="348" t="s">
        <v>335</v>
      </c>
      <c r="C81" s="348"/>
      <c r="D81" s="348"/>
      <c r="E81" s="348"/>
    </row>
    <row r="82" spans="2:5" ht="27" customHeight="1">
      <c r="B82" s="163"/>
      <c r="C82" s="192"/>
      <c r="D82" s="193"/>
      <c r="E82" s="174"/>
    </row>
    <row r="83" spans="2:5">
      <c r="B83" s="163"/>
      <c r="C83" s="192"/>
      <c r="D83" s="193"/>
      <c r="E83" s="174"/>
    </row>
    <row r="84" spans="2:5">
      <c r="B84" s="164"/>
      <c r="C84" s="194"/>
      <c r="D84" s="195"/>
      <c r="E84" s="174"/>
    </row>
    <row r="85" spans="2:5">
      <c r="B85" s="344" t="s">
        <v>208</v>
      </c>
      <c r="C85" s="344"/>
      <c r="D85" s="344"/>
    </row>
    <row r="95" spans="2:5" s="9" customFormat="1">
      <c r="B95" s="47"/>
      <c r="C95" s="47"/>
      <c r="D95" s="47"/>
    </row>
    <row r="96" spans="2:5" s="9" customFormat="1">
      <c r="B96" s="47"/>
      <c r="C96" s="47"/>
      <c r="D96" s="47"/>
    </row>
    <row r="97" spans="2:4" s="9" customFormat="1">
      <c r="B97" s="47"/>
      <c r="C97" s="47"/>
      <c r="D97" s="47"/>
    </row>
    <row r="98" spans="2:4" s="9" customFormat="1">
      <c r="B98" s="47"/>
      <c r="C98" s="47"/>
      <c r="D98" s="47"/>
    </row>
    <row r="99" spans="2:4" s="9" customFormat="1">
      <c r="B99" s="47"/>
      <c r="C99" s="47"/>
      <c r="D99" s="47"/>
    </row>
    <row r="100" spans="2:4" s="9" customFormat="1">
      <c r="B100" s="47"/>
      <c r="C100" s="47"/>
      <c r="D100" s="47"/>
    </row>
    <row r="101" spans="2:4" s="9" customFormat="1">
      <c r="B101" s="47"/>
      <c r="C101" s="47"/>
      <c r="D101" s="47"/>
    </row>
    <row r="102" spans="2:4" s="9" customFormat="1">
      <c r="B102" s="47"/>
      <c r="C102" s="47"/>
      <c r="D102" s="47"/>
    </row>
  </sheetData>
  <mergeCells count="6">
    <mergeCell ref="B85:D85"/>
    <mergeCell ref="B79:D79"/>
    <mergeCell ref="B10:E10"/>
    <mergeCell ref="B11:E12"/>
    <mergeCell ref="B80:E80"/>
    <mergeCell ref="B81:E8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3:K92"/>
  <sheetViews>
    <sheetView workbookViewId="0">
      <selection activeCell="T16" sqref="T16"/>
    </sheetView>
  </sheetViews>
  <sheetFormatPr defaultRowHeight="15"/>
  <cols>
    <col min="1" max="1" width="4" style="62" customWidth="1"/>
    <col min="2" max="2" width="44.7109375" style="47" customWidth="1"/>
    <col min="3" max="3" width="14.5703125" style="47" customWidth="1"/>
    <col min="4" max="4" width="33.42578125" style="47" customWidth="1"/>
    <col min="5" max="5" width="17" style="9" customWidth="1"/>
    <col min="6" max="6" width="5.7109375" style="62" customWidth="1"/>
    <col min="7" max="8" width="0" style="62" hidden="1" customWidth="1"/>
    <col min="9" max="9" width="15" style="62" hidden="1" customWidth="1"/>
    <col min="10" max="13" width="0" style="62" hidden="1" customWidth="1"/>
    <col min="14" max="16384" width="9.140625" style="62"/>
  </cols>
  <sheetData>
    <row r="3" spans="2:11" ht="15.75">
      <c r="D3" s="176" t="s">
        <v>0</v>
      </c>
      <c r="E3" s="174"/>
    </row>
    <row r="4" spans="2:11" ht="15.75">
      <c r="D4" s="176" t="s">
        <v>298</v>
      </c>
      <c r="E4" s="174"/>
    </row>
    <row r="5" spans="2:11" ht="15.75">
      <c r="D5" s="176" t="s">
        <v>206</v>
      </c>
      <c r="E5" s="174"/>
      <c r="G5" s="220">
        <v>42795</v>
      </c>
      <c r="I5" s="146" t="s">
        <v>160</v>
      </c>
      <c r="J5" s="283">
        <v>13.48</v>
      </c>
      <c r="K5" s="148" t="s">
        <v>186</v>
      </c>
    </row>
    <row r="6" spans="2:11" ht="15.75">
      <c r="D6" s="176"/>
      <c r="E6" s="174"/>
      <c r="I6" s="147" t="s">
        <v>162</v>
      </c>
      <c r="J6" s="147">
        <v>3240.3</v>
      </c>
      <c r="K6" s="148"/>
    </row>
    <row r="7" spans="2:11" ht="15.75">
      <c r="D7" s="176" t="s">
        <v>297</v>
      </c>
      <c r="E7" s="174"/>
      <c r="I7" s="147" t="s">
        <v>163</v>
      </c>
      <c r="J7" s="147">
        <v>80</v>
      </c>
      <c r="K7" s="148"/>
    </row>
    <row r="8" spans="2:11" ht="15.75">
      <c r="D8" s="66"/>
      <c r="I8" s="147" t="s">
        <v>164</v>
      </c>
      <c r="J8" s="283">
        <v>174</v>
      </c>
      <c r="K8" s="148"/>
    </row>
    <row r="9" spans="2:11" ht="15.75">
      <c r="D9" s="66"/>
      <c r="I9" s="149" t="s">
        <v>165</v>
      </c>
      <c r="J9" s="147">
        <v>13094</v>
      </c>
      <c r="K9" s="148"/>
    </row>
    <row r="10" spans="2:11" ht="30.75" customHeight="1">
      <c r="B10" s="346" t="s">
        <v>299</v>
      </c>
      <c r="C10" s="346"/>
      <c r="D10" s="346"/>
      <c r="E10" s="346"/>
      <c r="I10" s="147" t="s">
        <v>166</v>
      </c>
      <c r="J10" s="147">
        <v>100</v>
      </c>
      <c r="K10" s="148"/>
    </row>
    <row r="11" spans="2:11" ht="15" customHeight="1">
      <c r="B11" s="347" t="s">
        <v>114</v>
      </c>
      <c r="C11" s="347"/>
      <c r="D11" s="347"/>
      <c r="E11" s="347"/>
      <c r="I11" s="147" t="s">
        <v>167</v>
      </c>
      <c r="J11" s="147">
        <v>1182</v>
      </c>
      <c r="K11" s="148"/>
    </row>
    <row r="12" spans="2:11" ht="15" customHeight="1">
      <c r="B12" s="347"/>
      <c r="C12" s="347"/>
      <c r="D12" s="347"/>
      <c r="E12" s="347"/>
      <c r="I12" s="147" t="s">
        <v>168</v>
      </c>
      <c r="J12" s="147">
        <v>0</v>
      </c>
      <c r="K12" s="148"/>
    </row>
    <row r="13" spans="2:11" ht="15.75">
      <c r="B13" s="208"/>
      <c r="C13" s="321"/>
      <c r="D13" s="321"/>
      <c r="I13" s="147" t="s">
        <v>169</v>
      </c>
      <c r="J13" s="147">
        <v>0</v>
      </c>
      <c r="K13" s="148"/>
    </row>
    <row r="14" spans="2:11" ht="15.75">
      <c r="B14" s="84" t="s">
        <v>2</v>
      </c>
      <c r="C14" s="85">
        <v>3240.3</v>
      </c>
      <c r="D14" s="77" t="s">
        <v>61</v>
      </c>
      <c r="I14" s="147" t="s">
        <v>170</v>
      </c>
      <c r="J14" s="283">
        <v>869.1</v>
      </c>
      <c r="K14" s="148"/>
    </row>
    <row r="15" spans="2:11" s="6" customFormat="1" ht="15.75">
      <c r="B15" s="86" t="s">
        <v>3</v>
      </c>
      <c r="C15" s="87">
        <v>0</v>
      </c>
      <c r="D15" s="88"/>
      <c r="E15" s="89"/>
      <c r="I15" s="147" t="s">
        <v>171</v>
      </c>
      <c r="J15" s="285">
        <v>4559.6000000000004</v>
      </c>
      <c r="K15" s="148"/>
    </row>
    <row r="16" spans="2:11" s="6" customFormat="1" ht="15.75">
      <c r="B16" s="86"/>
      <c r="C16" s="87"/>
      <c r="D16" s="88"/>
      <c r="E16" s="89"/>
      <c r="I16" s="147" t="s">
        <v>172</v>
      </c>
      <c r="J16" s="147">
        <v>0</v>
      </c>
      <c r="K16" s="148"/>
    </row>
    <row r="17" spans="2:11" ht="31.5">
      <c r="B17" s="90" t="s">
        <v>4</v>
      </c>
      <c r="C17" s="91" t="s">
        <v>5</v>
      </c>
      <c r="D17" s="92" t="s">
        <v>6</v>
      </c>
      <c r="E17" s="197" t="s">
        <v>98</v>
      </c>
      <c r="I17" s="147" t="s">
        <v>173</v>
      </c>
      <c r="J17" s="284">
        <v>479.46836064720202</v>
      </c>
      <c r="K17" s="148"/>
    </row>
    <row r="18" spans="2:11">
      <c r="B18" s="93" t="s">
        <v>7</v>
      </c>
      <c r="C18" s="198">
        <f>C14*13.48*12</f>
        <v>524150.92800000007</v>
      </c>
      <c r="D18" s="155" t="s">
        <v>483</v>
      </c>
      <c r="E18" s="199" t="s">
        <v>99</v>
      </c>
      <c r="I18" s="147" t="s">
        <v>174</v>
      </c>
      <c r="J18" s="147">
        <v>9.4600000000000009</v>
      </c>
      <c r="K18" s="148"/>
    </row>
    <row r="19" spans="2:11" ht="38.25">
      <c r="B19" s="94" t="s">
        <v>8</v>
      </c>
      <c r="C19" s="325">
        <f>174*(211.42*6*1.45/12+226.93*6*1.45/12)*1.18</f>
        <v>65251.465949999991</v>
      </c>
      <c r="D19" s="326" t="s">
        <v>485</v>
      </c>
      <c r="E19" s="200"/>
      <c r="I19" s="147" t="s">
        <v>175</v>
      </c>
      <c r="J19" s="150">
        <v>0.82</v>
      </c>
      <c r="K19" s="154">
        <f>(J15/3+J14)/2920</f>
        <v>0.8181392694063927</v>
      </c>
    </row>
    <row r="20" spans="2:11">
      <c r="B20" s="96" t="s">
        <v>9</v>
      </c>
      <c r="C20" s="95">
        <f>C21</f>
        <v>0</v>
      </c>
      <c r="D20" s="97"/>
      <c r="E20" s="200"/>
      <c r="I20" s="151" t="s">
        <v>176</v>
      </c>
      <c r="J20" s="151"/>
      <c r="K20" s="154">
        <f>J7/144</f>
        <v>0.55555555555555558</v>
      </c>
    </row>
    <row r="21" spans="2:11">
      <c r="B21" s="78"/>
      <c r="C21" s="98"/>
      <c r="D21" s="99"/>
      <c r="E21" s="200"/>
      <c r="I21" s="152" t="s">
        <v>177</v>
      </c>
      <c r="J21" s="153"/>
      <c r="K21" s="154">
        <f>J24/1180</f>
        <v>0</v>
      </c>
    </row>
    <row r="22" spans="2:11">
      <c r="B22" s="100"/>
      <c r="C22" s="101"/>
      <c r="D22" s="201"/>
      <c r="E22" s="200" t="s">
        <v>99</v>
      </c>
      <c r="I22" s="74" t="s">
        <v>178</v>
      </c>
      <c r="J22" s="74">
        <v>1.45</v>
      </c>
      <c r="K22" s="148"/>
    </row>
    <row r="23" spans="2:11">
      <c r="B23" s="100"/>
      <c r="C23" s="102"/>
      <c r="D23" s="182"/>
      <c r="E23" s="200" t="s">
        <v>99</v>
      </c>
      <c r="I23" s="74" t="s">
        <v>179</v>
      </c>
      <c r="J23" s="74"/>
      <c r="K23" s="148"/>
    </row>
    <row r="24" spans="2:11" ht="15.75">
      <c r="B24" s="103" t="s">
        <v>10</v>
      </c>
      <c r="C24" s="65">
        <f>C18+C20</f>
        <v>524150.92800000007</v>
      </c>
      <c r="D24" s="83"/>
      <c r="E24" s="200"/>
      <c r="I24" s="148" t="s">
        <v>180</v>
      </c>
      <c r="J24" s="148"/>
      <c r="K24" s="148"/>
    </row>
    <row r="25" spans="2:11">
      <c r="B25" s="104" t="s">
        <v>11</v>
      </c>
      <c r="C25" s="65">
        <f>C26+C27+C28+C29+C30+C31</f>
        <v>6839.76</v>
      </c>
      <c r="D25" s="83"/>
      <c r="E25" s="200"/>
      <c r="I25" s="74" t="s">
        <v>185</v>
      </c>
      <c r="J25" s="74">
        <v>425</v>
      </c>
      <c r="K25" s="74"/>
    </row>
    <row r="26" spans="2:11">
      <c r="B26" s="78" t="s">
        <v>12</v>
      </c>
      <c r="C26" s="65">
        <f>34.98*12</f>
        <v>419.76</v>
      </c>
      <c r="D26" s="83" t="s">
        <v>13</v>
      </c>
      <c r="E26" s="200" t="s">
        <v>99</v>
      </c>
    </row>
    <row r="27" spans="2:11">
      <c r="B27" s="78" t="s">
        <v>14</v>
      </c>
      <c r="C27" s="65">
        <f>137.5*12</f>
        <v>1650</v>
      </c>
      <c r="D27" s="83" t="s">
        <v>15</v>
      </c>
      <c r="E27" s="200" t="s">
        <v>99</v>
      </c>
    </row>
    <row r="28" spans="2:11">
      <c r="B28" s="78" t="s">
        <v>16</v>
      </c>
      <c r="C28" s="65">
        <f>123.75*12</f>
        <v>1485</v>
      </c>
      <c r="D28" s="83" t="s">
        <v>17</v>
      </c>
      <c r="E28" s="200" t="s">
        <v>99</v>
      </c>
    </row>
    <row r="29" spans="2:11">
      <c r="B29" s="78" t="s">
        <v>18</v>
      </c>
      <c r="C29" s="65">
        <f>123.75*12</f>
        <v>1485</v>
      </c>
      <c r="D29" s="83" t="s">
        <v>17</v>
      </c>
      <c r="E29" s="200" t="s">
        <v>99</v>
      </c>
    </row>
    <row r="30" spans="2:11">
      <c r="B30" s="78" t="s">
        <v>19</v>
      </c>
      <c r="C30" s="65">
        <f>150*12</f>
        <v>1800</v>
      </c>
      <c r="D30" s="83" t="s">
        <v>20</v>
      </c>
      <c r="E30" s="200" t="s">
        <v>99</v>
      </c>
    </row>
    <row r="31" spans="2:11">
      <c r="B31" s="78" t="s">
        <v>69</v>
      </c>
      <c r="C31" s="65">
        <f>137.5*12*0</f>
        <v>0</v>
      </c>
      <c r="D31" s="83" t="s">
        <v>15</v>
      </c>
      <c r="E31" s="200"/>
    </row>
    <row r="32" spans="2:11">
      <c r="B32" s="104" t="s">
        <v>21</v>
      </c>
      <c r="C32" s="65">
        <v>0</v>
      </c>
      <c r="D32" s="83"/>
      <c r="E32" s="200"/>
    </row>
    <row r="33" spans="2:8" ht="18.75">
      <c r="B33" s="105" t="s">
        <v>23</v>
      </c>
      <c r="C33" s="106">
        <f>C24+C25+C32</f>
        <v>530990.68800000008</v>
      </c>
      <c r="D33" s="83"/>
      <c r="E33" s="108"/>
    </row>
    <row r="34" spans="2:8" ht="15.75">
      <c r="B34" s="91" t="s">
        <v>24</v>
      </c>
      <c r="C34" s="109" t="s">
        <v>5</v>
      </c>
      <c r="D34" s="202" t="s">
        <v>25</v>
      </c>
      <c r="E34" s="200"/>
    </row>
    <row r="35" spans="2:8" ht="15.75">
      <c r="B35" s="111" t="s">
        <v>26</v>
      </c>
      <c r="C35" s="95"/>
      <c r="D35" s="121"/>
      <c r="E35" s="200"/>
      <c r="H35" s="2"/>
    </row>
    <row r="36" spans="2:8" ht="51">
      <c r="B36" s="113" t="s">
        <v>27</v>
      </c>
      <c r="C36" s="329">
        <f>(0.82*(3565+200)*1.5*1.15*1.083*1.302*3)+(0.82*(3708+200)*1.5*1.15*1.083*1.302*9)+(0.1*869.1*12)</f>
        <v>93723.133834719003</v>
      </c>
      <c r="D36" s="330" t="s">
        <v>486</v>
      </c>
      <c r="E36" s="200" t="s">
        <v>100</v>
      </c>
      <c r="H36" s="3"/>
    </row>
    <row r="37" spans="2:8" ht="15.75">
      <c r="B37" s="113" t="s">
        <v>28</v>
      </c>
      <c r="C37" s="183"/>
      <c r="D37" s="184"/>
      <c r="E37" s="200"/>
      <c r="H37" s="3"/>
    </row>
    <row r="38" spans="2:8" ht="15.75">
      <c r="B38" s="113" t="s">
        <v>29</v>
      </c>
      <c r="C38" s="183"/>
      <c r="D38" s="184"/>
      <c r="E38" s="200"/>
      <c r="H38" s="3"/>
    </row>
    <row r="39" spans="2:8" s="7" customFormat="1" ht="51">
      <c r="B39" s="113" t="s">
        <v>30</v>
      </c>
      <c r="C39" s="331">
        <f>174*(360.84*0.025*3+362.52*0.025*3+382.25*0.025*6)</f>
        <v>19416.573</v>
      </c>
      <c r="D39" s="332" t="s">
        <v>487</v>
      </c>
      <c r="E39" s="199" t="s">
        <v>101</v>
      </c>
      <c r="H39" s="3"/>
    </row>
    <row r="40" spans="2:8" ht="15.75">
      <c r="B40" s="113" t="s">
        <v>31</v>
      </c>
      <c r="C40" s="333">
        <f>(16.86+17.53)*80</f>
        <v>2751.2</v>
      </c>
      <c r="D40" s="334" t="s">
        <v>473</v>
      </c>
      <c r="E40" s="200" t="s">
        <v>102</v>
      </c>
      <c r="H40" s="3"/>
    </row>
    <row r="41" spans="2:8" ht="25.5">
      <c r="B41" s="113" t="s">
        <v>32</v>
      </c>
      <c r="C41" s="333">
        <f>(49.72+51.71)*2*0</f>
        <v>0</v>
      </c>
      <c r="D41" s="334" t="s">
        <v>317</v>
      </c>
      <c r="E41" s="200"/>
      <c r="H41" s="3"/>
    </row>
    <row r="42" spans="2:8" ht="15.75">
      <c r="B42" s="113" t="s">
        <v>33</v>
      </c>
      <c r="C42" s="185">
        <f>0.26*425*12</f>
        <v>1326</v>
      </c>
      <c r="D42" s="155" t="s">
        <v>488</v>
      </c>
      <c r="E42" s="200" t="s">
        <v>99</v>
      </c>
      <c r="H42" s="3"/>
    </row>
    <row r="43" spans="2:8" ht="15.75">
      <c r="B43" s="115" t="s">
        <v>34</v>
      </c>
      <c r="C43" s="185">
        <f>1.02*425*4</f>
        <v>1734</v>
      </c>
      <c r="D43" s="155" t="s">
        <v>240</v>
      </c>
      <c r="E43" s="200" t="s">
        <v>103</v>
      </c>
      <c r="H43" s="3"/>
    </row>
    <row r="44" spans="2:8" ht="25.5">
      <c r="B44" s="94" t="s">
        <v>35</v>
      </c>
      <c r="C44" s="335">
        <f>(700.55*6+728.57*6)</f>
        <v>8574.7199999999993</v>
      </c>
      <c r="D44" s="336" t="s">
        <v>320</v>
      </c>
      <c r="E44" s="200" t="s">
        <v>99</v>
      </c>
      <c r="H44" s="3"/>
    </row>
    <row r="45" spans="2:8" ht="25.5">
      <c r="B45" s="94" t="s">
        <v>70</v>
      </c>
      <c r="C45" s="337">
        <f>(695.13*6+722.94*6)</f>
        <v>8508.42</v>
      </c>
      <c r="D45" s="336" t="s">
        <v>321</v>
      </c>
      <c r="E45" s="200" t="s">
        <v>99</v>
      </c>
      <c r="H45" s="3"/>
    </row>
    <row r="46" spans="2:8" ht="15.75">
      <c r="B46" s="94" t="s">
        <v>216</v>
      </c>
      <c r="C46" s="70">
        <f>315.3*12</f>
        <v>3783.6000000000004</v>
      </c>
      <c r="D46" s="186" t="s">
        <v>870</v>
      </c>
      <c r="E46" s="200" t="s">
        <v>99</v>
      </c>
      <c r="H46" s="3"/>
    </row>
    <row r="47" spans="2:8" ht="50.25" customHeight="1">
      <c r="B47" s="94" t="s">
        <v>40</v>
      </c>
      <c r="C47" s="338">
        <f>174*(211.42*6*1.45/12+226.93*6*1.45/12)</f>
        <v>55297.852499999994</v>
      </c>
      <c r="D47" s="336" t="s">
        <v>489</v>
      </c>
      <c r="E47" s="200" t="s">
        <v>101</v>
      </c>
      <c r="H47" s="3"/>
    </row>
    <row r="48" spans="2:8" ht="25.5">
      <c r="B48" s="94" t="s">
        <v>41</v>
      </c>
      <c r="C48" s="335">
        <f>0*(232.8*6+243.11*6)</f>
        <v>0</v>
      </c>
      <c r="D48" s="339" t="s">
        <v>393</v>
      </c>
      <c r="E48" s="200" t="s">
        <v>101</v>
      </c>
      <c r="H48" s="3"/>
    </row>
    <row r="49" spans="2:5" ht="15.75">
      <c r="B49" s="116" t="s">
        <v>42</v>
      </c>
      <c r="C49" s="117">
        <f>C36+C37+C38+C39+C40+C41+C42+C43+C44+C45+C46+C47+C48</f>
        <v>195115.49933471903</v>
      </c>
      <c r="D49" s="118"/>
      <c r="E49" s="108"/>
    </row>
    <row r="50" spans="2:5">
      <c r="B50" s="113" t="s">
        <v>43</v>
      </c>
      <c r="C50" s="65"/>
      <c r="D50" s="83"/>
      <c r="E50" s="200"/>
    </row>
    <row r="51" spans="2:5" s="8" customFormat="1" ht="51">
      <c r="B51" s="119" t="s">
        <v>44</v>
      </c>
      <c r="C51" s="333">
        <f>(9.46*96.4189*3)+(9.46*100.2864*9)+(1.78*(C14+C15)*12)</f>
        <v>80487.560477999999</v>
      </c>
      <c r="D51" s="340" t="s">
        <v>490</v>
      </c>
      <c r="E51" s="204"/>
    </row>
    <row r="52" spans="2:5">
      <c r="B52" s="115" t="s">
        <v>45</v>
      </c>
      <c r="C52" s="65">
        <f>13.69*1182</f>
        <v>16181.58</v>
      </c>
      <c r="D52" s="83" t="s">
        <v>491</v>
      </c>
      <c r="E52" s="200" t="s">
        <v>104</v>
      </c>
    </row>
    <row r="53" spans="2:5" ht="89.25">
      <c r="B53" s="172" t="s">
        <v>94</v>
      </c>
      <c r="C53" s="70">
        <f>17.51*(C14+C15)*0</f>
        <v>0</v>
      </c>
      <c r="D53" s="83" t="s">
        <v>492</v>
      </c>
      <c r="E53" s="200"/>
    </row>
    <row r="54" spans="2:5" ht="51">
      <c r="B54" s="113" t="s">
        <v>46</v>
      </c>
      <c r="C54" s="333">
        <f>(632.04+251.07/3)*13094/1000</f>
        <v>9371.7686200000007</v>
      </c>
      <c r="D54" s="340" t="s">
        <v>493</v>
      </c>
      <c r="E54" s="94" t="s">
        <v>105</v>
      </c>
    </row>
    <row r="55" spans="2:5" ht="51">
      <c r="B55" s="121" t="s">
        <v>47</v>
      </c>
      <c r="C55" s="341">
        <f>((479.47/12*3*96.4189)+(479.47/12*9*100.2864))+((479.47/12*3*96.4189)+(479.47/12*9*100.2864))/1.302*25%</f>
        <v>56764.498521901696</v>
      </c>
      <c r="D55" s="340" t="s">
        <v>494</v>
      </c>
      <c r="E55" s="200"/>
    </row>
    <row r="56" spans="2:5" ht="15.75">
      <c r="B56" s="122" t="s">
        <v>48</v>
      </c>
      <c r="C56" s="117">
        <f>C51+C52+C53+C54+C55</f>
        <v>162805.4076199017</v>
      </c>
      <c r="D56" s="118"/>
      <c r="E56" s="200"/>
    </row>
    <row r="57" spans="2:5">
      <c r="B57" s="121" t="s">
        <v>49</v>
      </c>
      <c r="C57" s="65"/>
      <c r="D57" s="83"/>
      <c r="E57" s="200"/>
    </row>
    <row r="58" spans="2:5" s="7" customFormat="1" ht="12.75">
      <c r="B58" s="123" t="s">
        <v>50</v>
      </c>
      <c r="C58" s="124"/>
      <c r="D58" s="125"/>
      <c r="E58" s="199"/>
    </row>
    <row r="59" spans="2:5">
      <c r="B59" s="121" t="s">
        <v>51</v>
      </c>
      <c r="C59" s="95"/>
      <c r="D59" s="126"/>
      <c r="E59" s="200"/>
    </row>
    <row r="60" spans="2:5">
      <c r="B60" s="121" t="s">
        <v>52</v>
      </c>
      <c r="C60" s="95"/>
      <c r="D60" s="126"/>
      <c r="E60" s="200"/>
    </row>
    <row r="61" spans="2:5">
      <c r="B61" s="121" t="s">
        <v>53</v>
      </c>
      <c r="C61" s="95"/>
      <c r="D61" s="126"/>
      <c r="E61" s="200"/>
    </row>
    <row r="62" spans="2:5">
      <c r="B62" s="121" t="s">
        <v>54</v>
      </c>
      <c r="C62" s="95"/>
      <c r="D62" s="126"/>
      <c r="E62" s="200"/>
    </row>
    <row r="63" spans="2:5" ht="15.75">
      <c r="B63" s="122" t="s">
        <v>55</v>
      </c>
      <c r="C63" s="127">
        <f>C58+C59</f>
        <v>0</v>
      </c>
      <c r="D63" s="128"/>
      <c r="E63" s="200"/>
    </row>
    <row r="64" spans="2:5">
      <c r="B64" s="129" t="s">
        <v>56</v>
      </c>
      <c r="C64" s="95">
        <f>3.05*(3240.3+0)</f>
        <v>9882.9150000000009</v>
      </c>
      <c r="D64" s="126" t="s">
        <v>495</v>
      </c>
      <c r="E64" s="200"/>
    </row>
    <row r="65" spans="2:8" ht="15.75">
      <c r="B65" s="130" t="s">
        <v>57</v>
      </c>
      <c r="C65" s="131">
        <f>1.49*(3240.3+0)</f>
        <v>4828.0470000000005</v>
      </c>
      <c r="D65" s="319" t="s">
        <v>840</v>
      </c>
      <c r="E65" s="200"/>
      <c r="H65" s="4"/>
    </row>
    <row r="66" spans="2:8">
      <c r="B66" s="78" t="s">
        <v>58</v>
      </c>
      <c r="C66" s="95">
        <f>(C49+C56)*0.341</f>
        <v>122051.02927152568</v>
      </c>
      <c r="D66" s="126" t="s">
        <v>331</v>
      </c>
      <c r="E66" s="200"/>
    </row>
    <row r="67" spans="2:8" ht="38.25">
      <c r="B67" s="78" t="s">
        <v>95</v>
      </c>
      <c r="C67" s="131">
        <f>(C49+C56+C66)*0.132</f>
        <v>63356.295581851329</v>
      </c>
      <c r="D67" s="126" t="s">
        <v>332</v>
      </c>
      <c r="E67" s="200" t="s">
        <v>99</v>
      </c>
    </row>
    <row r="68" spans="2:8" ht="15.75">
      <c r="B68" s="157" t="s">
        <v>96</v>
      </c>
      <c r="C68" s="127">
        <f>C64+C65+C66+C67</f>
        <v>200118.28685337701</v>
      </c>
      <c r="D68" s="128"/>
      <c r="E68" s="200"/>
    </row>
    <row r="69" spans="2:8">
      <c r="B69" s="78" t="s">
        <v>59</v>
      </c>
      <c r="C69" s="95">
        <f>(C49+C56+C63+C68)*3%</f>
        <v>16741.17581423993</v>
      </c>
      <c r="D69" s="126"/>
      <c r="E69" s="200"/>
    </row>
    <row r="70" spans="2:8" ht="15.75">
      <c r="B70" s="133" t="s">
        <v>23</v>
      </c>
      <c r="C70" s="134">
        <f>C49+C56+C63+C68+C69</f>
        <v>574780.36962223763</v>
      </c>
      <c r="D70" s="135"/>
      <c r="E70" s="200"/>
    </row>
    <row r="71" spans="2:8" ht="15.75">
      <c r="B71" s="133" t="s">
        <v>60</v>
      </c>
      <c r="C71" s="134">
        <f>C70*1.18</f>
        <v>678240.83615424042</v>
      </c>
      <c r="D71" s="135"/>
      <c r="E71" s="108"/>
    </row>
    <row r="72" spans="2:8" ht="15.75">
      <c r="B72" s="136"/>
      <c r="C72" s="137">
        <f>C33-C71</f>
        <v>-147250.14815424033</v>
      </c>
      <c r="D72" s="138"/>
      <c r="E72" s="200"/>
    </row>
    <row r="73" spans="2:8" ht="30">
      <c r="B73" s="159" t="s">
        <v>106</v>
      </c>
      <c r="C73" s="188">
        <f>C71/(C14+C15)/12</f>
        <v>17.44285087168473</v>
      </c>
      <c r="D73" s="189" t="s">
        <v>484</v>
      </c>
      <c r="E73" s="108"/>
    </row>
    <row r="74" spans="2:8">
      <c r="B74" s="161"/>
      <c r="C74" s="190"/>
      <c r="D74" s="191"/>
      <c r="E74" s="205"/>
    </row>
    <row r="75" spans="2:8" ht="15" customHeight="1">
      <c r="B75" s="345" t="s">
        <v>97</v>
      </c>
      <c r="C75" s="345"/>
      <c r="D75" s="345"/>
      <c r="E75" s="303"/>
    </row>
    <row r="76" spans="2:8" ht="36.75" customHeight="1">
      <c r="B76" s="348" t="s">
        <v>334</v>
      </c>
      <c r="C76" s="348"/>
      <c r="D76" s="348"/>
      <c r="E76" s="348"/>
    </row>
    <row r="77" spans="2:8" ht="31.5" customHeight="1">
      <c r="B77" s="348" t="s">
        <v>335</v>
      </c>
      <c r="C77" s="348"/>
      <c r="D77" s="348"/>
      <c r="E77" s="348"/>
    </row>
    <row r="78" spans="2:8" ht="27.75" customHeight="1">
      <c r="B78" s="163"/>
      <c r="C78" s="192"/>
      <c r="D78" s="193"/>
      <c r="E78" s="174"/>
    </row>
    <row r="79" spans="2:8">
      <c r="B79" s="163"/>
      <c r="C79" s="192"/>
      <c r="D79" s="193"/>
      <c r="E79" s="174"/>
    </row>
    <row r="80" spans="2:8">
      <c r="B80" s="164"/>
      <c r="C80" s="194"/>
      <c r="D80" s="195"/>
      <c r="E80" s="174"/>
    </row>
    <row r="81" spans="2:4">
      <c r="B81" s="344" t="s">
        <v>208</v>
      </c>
      <c r="C81" s="344"/>
      <c r="D81" s="344"/>
    </row>
    <row r="85" spans="2:4" s="9" customFormat="1">
      <c r="B85" s="47"/>
      <c r="C85" s="47"/>
      <c r="D85" s="47"/>
    </row>
    <row r="86" spans="2:4" s="9" customFormat="1">
      <c r="B86" s="47"/>
      <c r="C86" s="47"/>
      <c r="D86" s="47"/>
    </row>
    <row r="87" spans="2:4" s="9" customFormat="1">
      <c r="B87" s="47"/>
      <c r="C87" s="47"/>
      <c r="D87" s="47"/>
    </row>
    <row r="88" spans="2:4" s="9" customFormat="1">
      <c r="B88" s="47"/>
      <c r="C88" s="47"/>
      <c r="D88" s="47"/>
    </row>
    <row r="89" spans="2:4" s="9" customFormat="1">
      <c r="B89" s="47"/>
      <c r="C89" s="47"/>
      <c r="D89" s="47"/>
    </row>
    <row r="90" spans="2:4" s="9" customFormat="1">
      <c r="B90" s="47"/>
      <c r="C90" s="47"/>
      <c r="D90" s="47"/>
    </row>
    <row r="91" spans="2:4" s="9" customFormat="1">
      <c r="B91" s="47"/>
      <c r="C91" s="47"/>
      <c r="D91" s="47"/>
    </row>
    <row r="92" spans="2:4" s="9" customFormat="1">
      <c r="B92" s="47"/>
      <c r="C92" s="47"/>
      <c r="D92" s="47"/>
    </row>
  </sheetData>
  <mergeCells count="6">
    <mergeCell ref="B81:D81"/>
    <mergeCell ref="B75:D75"/>
    <mergeCell ref="B10:E10"/>
    <mergeCell ref="B11:E12"/>
    <mergeCell ref="B76:E76"/>
    <mergeCell ref="B77:E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Пр.Окт.146,1</vt:lpstr>
      <vt:lpstr>Пр.Окт.146,2</vt:lpstr>
      <vt:lpstr>Пр.Окт.150</vt:lpstr>
      <vt:lpstr>Пр.Окт.150,1</vt:lpstr>
      <vt:lpstr>Пр.Окт.150,2</vt:lpstr>
      <vt:lpstr>Пр.Окт.158</vt:lpstr>
      <vt:lpstr>Блюх.13</vt:lpstr>
      <vt:lpstr>Блюх.15</vt:lpstr>
      <vt:lpstr>Блюх.15,1</vt:lpstr>
      <vt:lpstr>Блюх.17</vt:lpstr>
      <vt:lpstr>Блюх.28</vt:lpstr>
      <vt:lpstr>Блюх.30</vt:lpstr>
      <vt:lpstr>Блюх.32</vt:lpstr>
      <vt:lpstr>Блюх.32,1</vt:lpstr>
      <vt:lpstr>Блюх.34</vt:lpstr>
      <vt:lpstr>Блюх.36</vt:lpstr>
      <vt:lpstr>Блюх.36,1</vt:lpstr>
      <vt:lpstr>Блюх.38</vt:lpstr>
      <vt:lpstr>Блюх.38,1</vt:lpstr>
      <vt:lpstr>Кузнец.5</vt:lpstr>
      <vt:lpstr>Кузнец.6</vt:lpstr>
      <vt:lpstr>Кузнец.7</vt:lpstr>
      <vt:lpstr>Кузнец.9</vt:lpstr>
      <vt:lpstr>Российск.56а</vt:lpstr>
      <vt:lpstr>Российск.56б</vt:lpstr>
      <vt:lpstr>Российск.56в</vt:lpstr>
      <vt:lpstr>Российск.58</vt:lpstr>
      <vt:lpstr>Российск.60б</vt:lpstr>
      <vt:lpstr>Российск.62</vt:lpstr>
      <vt:lpstr>Российск.64</vt:lpstr>
      <vt:lpstr>Российск.66</vt:lpstr>
      <vt:lpstr>Российск.66б</vt:lpstr>
      <vt:lpstr>Российск.66в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RePack by Diakov</cp:lastModifiedBy>
  <cp:lastPrinted>2018-05-21T05:22:44Z</cp:lastPrinted>
  <dcterms:created xsi:type="dcterms:W3CDTF">2014-02-03T13:30:21Z</dcterms:created>
  <dcterms:modified xsi:type="dcterms:W3CDTF">2018-05-21T05:23:23Z</dcterms:modified>
</cp:coreProperties>
</file>