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360" windowWidth="15570" windowHeight="11010" tabRatio="940"/>
  </bookViews>
  <sheets>
    <sheet name="а.ушак 84" sheetId="40" r:id="rId1"/>
    <sheet name="а.ушак 86" sheetId="41" r:id="rId2"/>
    <sheet name="а.ушак 86.1" sheetId="42" r:id="rId3"/>
    <sheet name="а.ушак 86.2" sheetId="43" r:id="rId4"/>
    <sheet name="а.ушак 88" sheetId="44" r:id="rId5"/>
    <sheet name="а.ушак 88.1" sheetId="45" r:id="rId6"/>
    <sheet name="а.ушак 90" sheetId="46" r:id="rId7"/>
    <sheet name="а.ушак 90.1" sheetId="47" r:id="rId8"/>
    <sheet name="бх 67" sheetId="49" r:id="rId9"/>
    <sheet name="бх 68" sheetId="50" r:id="rId10"/>
    <sheet name="бх 69" sheetId="51" r:id="rId11"/>
    <sheet name="бх 70" sheetId="52" r:id="rId12"/>
    <sheet name="бх 71" sheetId="53" r:id="rId13"/>
    <sheet name="бх 71.1" sheetId="54" r:id="rId14"/>
    <sheet name="бх 88.1" sheetId="56" r:id="rId15"/>
    <sheet name="вол 52" sheetId="59" r:id="rId16"/>
    <sheet name="Вол 54" sheetId="38" r:id="rId17"/>
    <sheet name="вол 56" sheetId="61" r:id="rId18"/>
    <sheet name="вол 58" sheetId="62" r:id="rId19"/>
    <sheet name="вол 77" sheetId="63" r:id="rId20"/>
    <sheet name="вол 81.1" sheetId="66" r:id="rId21"/>
    <sheet name="Волог.81,2" sheetId="6" r:id="rId22"/>
    <sheet name="Кольц.191" sheetId="11" r:id="rId23"/>
    <sheet name="Волог.79+достр." sheetId="3" state="hidden" r:id="rId24"/>
    <sheet name="Волог.81" sheetId="4" state="hidden" r:id="rId25"/>
    <sheet name="Кольц.185" sheetId="7" state="hidden" r:id="rId26"/>
    <sheet name="Кольц.185,1" sheetId="8" state="hidden" r:id="rId27"/>
    <sheet name="Кольц.187" sheetId="9" state="hidden" r:id="rId28"/>
    <sheet name="Кольц.189" sheetId="10" state="hidden" r:id="rId29"/>
    <sheet name="Кольц.195" sheetId="12" state="hidden" r:id="rId30"/>
    <sheet name="Кольц.197" sheetId="13" state="hidden" r:id="rId31"/>
    <sheet name="Кольц. 197" sheetId="73" r:id="rId32"/>
    <sheet name="Кольц. 201.1" sheetId="71" r:id="rId33"/>
    <sheet name="Кольц.201.2" sheetId="72" r:id="rId34"/>
    <sheet name="Кольц.201,4" sheetId="16" r:id="rId35"/>
    <sheet name="Кольц.203,1" sheetId="17" r:id="rId36"/>
    <sheet name="Кольц.205" sheetId="18" r:id="rId37"/>
    <sheet name="Кольц.205,1" sheetId="19" r:id="rId38"/>
    <sheet name="Кольц.205,2" sheetId="20" r:id="rId39"/>
    <sheet name="Кольц.207" sheetId="21" state="hidden" r:id="rId40"/>
    <sheet name="Коммун.58" sheetId="23" r:id="rId41"/>
    <sheet name="Коммун.59" sheetId="24" r:id="rId42"/>
    <sheet name="Коммун.59,1" sheetId="36" state="hidden" r:id="rId43"/>
    <sheet name="Коммун.60" sheetId="25" r:id="rId44"/>
    <sheet name="Коммун.62" sheetId="26" r:id="rId45"/>
    <sheet name="Коммун.66" sheetId="27" state="hidden" r:id="rId46"/>
    <sheet name="Коммун.66,2+достр." sheetId="28" r:id="rId47"/>
    <sheet name="коммун. 67" sheetId="74" r:id="rId48"/>
    <sheet name="Коммун.69" sheetId="37" r:id="rId49"/>
    <sheet name="Коммун.69,1" sheetId="30" r:id="rId50"/>
    <sheet name="Коммун.69,2" sheetId="31" r:id="rId51"/>
    <sheet name="Коммун.71,1" sheetId="32" r:id="rId52"/>
    <sheet name="Коммун.75" sheetId="33" r:id="rId53"/>
    <sheet name="Суворова72" sheetId="35" state="hidden" r:id="rId54"/>
  </sheets>
  <externalReferences>
    <externalReference r:id="rId55"/>
  </externalReferences>
  <calcPr calcId="125725"/>
</workbook>
</file>

<file path=xl/calcChain.xml><?xml version="1.0" encoding="utf-8"?>
<calcChain xmlns="http://schemas.openxmlformats.org/spreadsheetml/2006/main">
  <c r="B56" i="74"/>
  <c r="B55"/>
  <c r="B53"/>
  <c r="B49"/>
  <c r="B48"/>
  <c r="B47"/>
  <c r="B46"/>
  <c r="B44"/>
  <c r="B27"/>
  <c r="B26" s="1"/>
  <c r="B25"/>
  <c r="B24" s="1"/>
  <c r="B23"/>
  <c r="B22" s="1"/>
  <c r="B21"/>
  <c r="B19"/>
  <c r="B16"/>
  <c r="B20"/>
  <c r="B18"/>
  <c r="B64" l="1"/>
  <c r="B36"/>
  <c r="B35"/>
  <c r="B34"/>
  <c r="B33"/>
  <c r="B32"/>
  <c r="B31"/>
  <c r="B30"/>
  <c r="B29" s="1"/>
  <c r="G28"/>
  <c r="B41" s="1"/>
  <c r="B50" s="1"/>
  <c r="B17"/>
  <c r="B13"/>
  <c r="B65" l="1"/>
  <c r="B54"/>
  <c r="B52"/>
  <c r="B66"/>
  <c r="B28"/>
  <c r="B38" s="1"/>
  <c r="B16" i="33"/>
  <c r="G29"/>
  <c r="B34" s="1"/>
  <c r="B50"/>
  <c r="B49"/>
  <c r="B48"/>
  <c r="B47"/>
  <c r="B46"/>
  <c r="B43"/>
  <c r="B42"/>
  <c r="B41"/>
  <c r="B40"/>
  <c r="B39"/>
  <c r="B38"/>
  <c r="B37"/>
  <c r="B36"/>
  <c r="B35"/>
  <c r="B33"/>
  <c r="G28"/>
  <c r="B32" s="1"/>
  <c r="B60"/>
  <c r="B59"/>
  <c r="B16" i="30"/>
  <c r="B16" i="31"/>
  <c r="B56" i="32"/>
  <c r="B44"/>
  <c r="G30"/>
  <c r="B32" s="1"/>
  <c r="G30" i="31"/>
  <c r="G29" i="32"/>
  <c r="B33" s="1"/>
  <c r="B16"/>
  <c r="B47"/>
  <c r="B46"/>
  <c r="B45"/>
  <c r="B43"/>
  <c r="B40"/>
  <c r="B39"/>
  <c r="B38"/>
  <c r="B37"/>
  <c r="B36"/>
  <c r="B35"/>
  <c r="B34"/>
  <c r="G28"/>
  <c r="B31" s="1"/>
  <c r="B57"/>
  <c r="B45" i="26"/>
  <c r="B38" i="30"/>
  <c r="B38" i="31"/>
  <c r="B56"/>
  <c r="B57"/>
  <c r="B43"/>
  <c r="B47"/>
  <c r="B46"/>
  <c r="B45"/>
  <c r="B44"/>
  <c r="B40"/>
  <c r="B39"/>
  <c r="B37"/>
  <c r="B36"/>
  <c r="B35"/>
  <c r="B34"/>
  <c r="B33"/>
  <c r="B32"/>
  <c r="G28"/>
  <c r="B31" s="1"/>
  <c r="B47" i="30"/>
  <c r="B46"/>
  <c r="B45"/>
  <c r="B44"/>
  <c r="B43"/>
  <c r="B40"/>
  <c r="B39"/>
  <c r="B37"/>
  <c r="B36"/>
  <c r="B35"/>
  <c r="B34"/>
  <c r="B32"/>
  <c r="B33"/>
  <c r="B57"/>
  <c r="B56"/>
  <c r="G28"/>
  <c r="B31" s="1"/>
  <c r="B55" i="28"/>
  <c r="B54"/>
  <c r="B52"/>
  <c r="G33"/>
  <c r="G32"/>
  <c r="G30"/>
  <c r="G29"/>
  <c r="G28"/>
  <c r="B57" i="74" l="1"/>
  <c r="B67" s="1"/>
  <c r="B51" i="33"/>
  <c r="B44"/>
  <c r="B41" i="32"/>
  <c r="B41" i="31"/>
  <c r="B41" i="30"/>
  <c r="B48"/>
  <c r="B68" i="74" l="1"/>
  <c r="B69" s="1"/>
  <c r="B70" s="1"/>
  <c r="B61" i="33"/>
  <c r="B62" s="1"/>
  <c r="B58" i="30"/>
  <c r="B71" i="74" l="1"/>
  <c r="B72" s="1"/>
  <c r="B63" i="33"/>
  <c r="B59" i="30"/>
  <c r="B60" s="1"/>
  <c r="B74" i="74" l="1"/>
  <c r="B73"/>
  <c r="B46" i="28"/>
  <c r="B44"/>
  <c r="B37"/>
  <c r="B39"/>
  <c r="B38"/>
  <c r="B48"/>
  <c r="B47"/>
  <c r="B45"/>
  <c r="B43"/>
  <c r="B42"/>
  <c r="B41"/>
  <c r="B40"/>
  <c r="B23"/>
  <c r="B21"/>
  <c r="B19"/>
  <c r="B16"/>
  <c r="B23" i="26"/>
  <c r="B21"/>
  <c r="B19"/>
  <c r="B16"/>
  <c r="B22"/>
  <c r="B20"/>
  <c r="B18"/>
  <c r="B54"/>
  <c r="B53"/>
  <c r="B51"/>
  <c r="B47"/>
  <c r="B46"/>
  <c r="B44"/>
  <c r="B43"/>
  <c r="B42"/>
  <c r="B41"/>
  <c r="B40"/>
  <c r="B39"/>
  <c r="G34"/>
  <c r="B38" s="1"/>
  <c r="B16" i="25"/>
  <c r="B38"/>
  <c r="B56"/>
  <c r="B44"/>
  <c r="B48" i="24"/>
  <c r="B48" i="23"/>
  <c r="B47" i="25"/>
  <c r="B46"/>
  <c r="B45"/>
  <c r="B43"/>
  <c r="B40"/>
  <c r="B39"/>
  <c r="B37"/>
  <c r="B36"/>
  <c r="B35"/>
  <c r="B34"/>
  <c r="B33"/>
  <c r="B32"/>
  <c r="G28"/>
  <c r="B31" s="1"/>
  <c r="B57"/>
  <c r="B61" i="24"/>
  <c r="B60"/>
  <c r="B21"/>
  <c r="B19"/>
  <c r="B16"/>
  <c r="B47"/>
  <c r="B42"/>
  <c r="B51"/>
  <c r="B50"/>
  <c r="B49"/>
  <c r="B44"/>
  <c r="B43"/>
  <c r="B41"/>
  <c r="B40"/>
  <c r="B39"/>
  <c r="B38"/>
  <c r="B37"/>
  <c r="B36"/>
  <c r="G32"/>
  <c r="B35" s="1"/>
  <c r="B14" i="59"/>
  <c r="B20"/>
  <c r="B19" s="1"/>
  <c r="B21" i="23"/>
  <c r="B19"/>
  <c r="B16"/>
  <c r="B61"/>
  <c r="B60"/>
  <c r="B51"/>
  <c r="B50"/>
  <c r="B49"/>
  <c r="B47"/>
  <c r="B44"/>
  <c r="B43"/>
  <c r="B42"/>
  <c r="B41"/>
  <c r="B40"/>
  <c r="B39"/>
  <c r="B38"/>
  <c r="B37"/>
  <c r="B36"/>
  <c r="G32"/>
  <c r="B35" s="1"/>
  <c r="B52" l="1"/>
  <c r="B52" i="24"/>
  <c r="B49" i="28"/>
  <c r="B48" i="26"/>
  <c r="B41" i="25"/>
  <c r="B48"/>
  <c r="B45" i="24"/>
  <c r="B45" i="23"/>
  <c r="B41" i="20"/>
  <c r="B40"/>
  <c r="B39"/>
  <c r="G30"/>
  <c r="G29"/>
  <c r="B16"/>
  <c r="B60"/>
  <c r="B59"/>
  <c r="B50"/>
  <c r="B49"/>
  <c r="B48"/>
  <c r="B47"/>
  <c r="B46"/>
  <c r="B42"/>
  <c r="B38"/>
  <c r="B37"/>
  <c r="B36"/>
  <c r="B35"/>
  <c r="B34"/>
  <c r="B33"/>
  <c r="G28"/>
  <c r="B32" s="1"/>
  <c r="G30" i="19"/>
  <c r="B32" s="1"/>
  <c r="G29"/>
  <c r="B33" s="1"/>
  <c r="B16"/>
  <c r="B58"/>
  <c r="B59"/>
  <c r="B45"/>
  <c r="B49"/>
  <c r="B48"/>
  <c r="B47"/>
  <c r="B46"/>
  <c r="B41"/>
  <c r="B40"/>
  <c r="B39"/>
  <c r="B38"/>
  <c r="B37"/>
  <c r="B36"/>
  <c r="B35"/>
  <c r="B34"/>
  <c r="G28"/>
  <c r="B31" s="1"/>
  <c r="B58" i="18"/>
  <c r="B40"/>
  <c r="G30"/>
  <c r="G29"/>
  <c r="B33" s="1"/>
  <c r="B16"/>
  <c r="B49"/>
  <c r="B48"/>
  <c r="B47"/>
  <c r="B46"/>
  <c r="B45"/>
  <c r="B41"/>
  <c r="B39"/>
  <c r="B38"/>
  <c r="B37"/>
  <c r="B36"/>
  <c r="B35"/>
  <c r="B34"/>
  <c r="B32"/>
  <c r="G28"/>
  <c r="B31" s="1"/>
  <c r="B59"/>
  <c r="B17"/>
  <c r="B56" i="17"/>
  <c r="B47"/>
  <c r="B46"/>
  <c r="B45"/>
  <c r="B44"/>
  <c r="B16"/>
  <c r="B40"/>
  <c r="B39"/>
  <c r="B38"/>
  <c r="B37"/>
  <c r="B35"/>
  <c r="B41"/>
  <c r="B36"/>
  <c r="G31"/>
  <c r="B33" s="1"/>
  <c r="G30"/>
  <c r="B34" s="1"/>
  <c r="G29"/>
  <c r="B32" s="1"/>
  <c r="B57"/>
  <c r="B17"/>
  <c r="G35" i="16"/>
  <c r="B32" s="1"/>
  <c r="G34"/>
  <c r="B33" s="1"/>
  <c r="B16"/>
  <c r="B56"/>
  <c r="B47"/>
  <c r="B46"/>
  <c r="B45"/>
  <c r="B44"/>
  <c r="B43"/>
  <c r="B40"/>
  <c r="B39"/>
  <c r="B38"/>
  <c r="B37"/>
  <c r="B36"/>
  <c r="B34"/>
  <c r="B48" i="17" l="1"/>
  <c r="B62" i="24"/>
  <c r="B58" i="25"/>
  <c r="B59" s="1"/>
  <c r="B62" i="23"/>
  <c r="B51" i="20"/>
  <c r="B44"/>
  <c r="B43" i="19"/>
  <c r="B50"/>
  <c r="B43" i="18"/>
  <c r="B50"/>
  <c r="B42" i="17"/>
  <c r="B60" i="18" l="1"/>
  <c r="B61" s="1"/>
  <c r="B63" i="24"/>
  <c r="B64" s="1"/>
  <c r="B63" i="23"/>
  <c r="B64" s="1"/>
  <c r="B61" i="20"/>
  <c r="B60" i="19"/>
  <c r="B61" s="1"/>
  <c r="B62" s="1"/>
  <c r="B58" i="17"/>
  <c r="B59" s="1"/>
  <c r="B62" i="20" l="1"/>
  <c r="B63" s="1"/>
  <c r="B60" i="17"/>
  <c r="B64" i="73" l="1"/>
  <c r="B56"/>
  <c r="B55"/>
  <c r="B53"/>
  <c r="B48"/>
  <c r="B47"/>
  <c r="B46"/>
  <c r="B45"/>
  <c r="B44"/>
  <c r="B43"/>
  <c r="B42"/>
  <c r="B41"/>
  <c r="B33"/>
  <c r="B32"/>
  <c r="B31"/>
  <c r="G30"/>
  <c r="B39" s="1"/>
  <c r="B30"/>
  <c r="G29"/>
  <c r="B40" s="1"/>
  <c r="B29"/>
  <c r="G28"/>
  <c r="B38" s="1"/>
  <c r="B28"/>
  <c r="B27"/>
  <c r="B26"/>
  <c r="B23"/>
  <c r="B22" s="1"/>
  <c r="B21"/>
  <c r="B20" s="1"/>
  <c r="B19"/>
  <c r="B18" s="1"/>
  <c r="B16"/>
  <c r="B13"/>
  <c r="B54" s="1"/>
  <c r="B25" l="1"/>
  <c r="B17"/>
  <c r="B50"/>
  <c r="B24"/>
  <c r="B35" s="1"/>
  <c r="B52"/>
  <c r="B57" s="1"/>
  <c r="B66"/>
  <c r="B65"/>
  <c r="B67" l="1"/>
  <c r="B68" l="1"/>
  <c r="B69" s="1"/>
  <c r="B70" l="1"/>
  <c r="B71" s="1"/>
  <c r="B72" s="1"/>
  <c r="B74" l="1"/>
  <c r="B73"/>
  <c r="B60" i="71" l="1"/>
  <c r="B59"/>
  <c r="B58"/>
  <c r="B50"/>
  <c r="B49"/>
  <c r="B48"/>
  <c r="B47"/>
  <c r="B46"/>
  <c r="B42"/>
  <c r="B41"/>
  <c r="B40"/>
  <c r="B39"/>
  <c r="B38"/>
  <c r="B37"/>
  <c r="B36"/>
  <c r="B35"/>
  <c r="G30"/>
  <c r="B33" s="1"/>
  <c r="G29"/>
  <c r="B34" s="1"/>
  <c r="G28"/>
  <c r="B32" s="1"/>
  <c r="B27"/>
  <c r="B26"/>
  <c r="B25"/>
  <c r="B24"/>
  <c r="B23"/>
  <c r="B22"/>
  <c r="B21"/>
  <c r="B20"/>
  <c r="B17"/>
  <c r="B16"/>
  <c r="B18" l="1"/>
  <c r="B19"/>
  <c r="B29" s="1"/>
  <c r="B44"/>
  <c r="B51"/>
  <c r="B62" s="1"/>
  <c r="B63" s="1"/>
  <c r="B61"/>
  <c r="B64" l="1"/>
  <c r="B65" s="1"/>
  <c r="B66" s="1"/>
  <c r="B68" l="1"/>
  <c r="B67"/>
  <c r="B59" i="72" l="1"/>
  <c r="B58"/>
  <c r="B57"/>
  <c r="B49"/>
  <c r="B48"/>
  <c r="B47"/>
  <c r="B46"/>
  <c r="B45"/>
  <c r="B50" s="1"/>
  <c r="B41"/>
  <c r="B40"/>
  <c r="B39"/>
  <c r="B38"/>
  <c r="B37"/>
  <c r="B36"/>
  <c r="B35"/>
  <c r="B34"/>
  <c r="G30"/>
  <c r="B32" s="1"/>
  <c r="G29"/>
  <c r="B33" s="1"/>
  <c r="G28"/>
  <c r="B31" s="1"/>
  <c r="B26"/>
  <c r="B25"/>
  <c r="B24"/>
  <c r="B23"/>
  <c r="B22"/>
  <c r="B21"/>
  <c r="B20"/>
  <c r="B16"/>
  <c r="B18" s="1"/>
  <c r="B19" l="1"/>
  <c r="B28" s="1"/>
  <c r="B43"/>
  <c r="B60" l="1"/>
  <c r="B61" l="1"/>
  <c r="B62" s="1"/>
  <c r="B63" l="1"/>
  <c r="B64" s="1"/>
  <c r="B65" s="1"/>
  <c r="B67" l="1"/>
  <c r="B66"/>
  <c r="B35" i="16" l="1"/>
  <c r="B17"/>
  <c r="G33"/>
  <c r="B31" s="1"/>
  <c r="B57"/>
  <c r="B44" i="37"/>
  <c r="B44" i="11"/>
  <c r="G30" i="6"/>
  <c r="B33" s="1"/>
  <c r="G29"/>
  <c r="B42"/>
  <c r="B49"/>
  <c r="B48"/>
  <c r="B43"/>
  <c r="B41"/>
  <c r="B40"/>
  <c r="B39"/>
  <c r="B38"/>
  <c r="B37"/>
  <c r="B36"/>
  <c r="B35"/>
  <c r="B34"/>
  <c r="B17"/>
  <c r="B12"/>
  <c r="B59" s="1"/>
  <c r="G28"/>
  <c r="B32" s="1"/>
  <c r="B16" i="66"/>
  <c r="B58"/>
  <c r="B43"/>
  <c r="B42"/>
  <c r="G30"/>
  <c r="B33" s="1"/>
  <c r="G29"/>
  <c r="B34" s="1"/>
  <c r="B39"/>
  <c r="B59"/>
  <c r="B49"/>
  <c r="B48"/>
  <c r="B47"/>
  <c r="B46"/>
  <c r="B41"/>
  <c r="B40"/>
  <c r="B38"/>
  <c r="B37"/>
  <c r="B36"/>
  <c r="B35"/>
  <c r="B17"/>
  <c r="G28"/>
  <c r="B32" s="1"/>
  <c r="B57"/>
  <c r="B27"/>
  <c r="B26"/>
  <c r="B25"/>
  <c r="B24"/>
  <c r="B23"/>
  <c r="B22"/>
  <c r="B21"/>
  <c r="B20"/>
  <c r="B45" i="63"/>
  <c r="B23"/>
  <c r="B22" s="1"/>
  <c r="B21"/>
  <c r="B20" s="1"/>
  <c r="B19"/>
  <c r="B18" s="1"/>
  <c r="B12"/>
  <c r="B53"/>
  <c r="B52"/>
  <c r="B47"/>
  <c r="B46"/>
  <c r="B44"/>
  <c r="B43"/>
  <c r="B42"/>
  <c r="B41"/>
  <c r="B40"/>
  <c r="B39"/>
  <c r="G34"/>
  <c r="B38" s="1"/>
  <c r="B61"/>
  <c r="B33"/>
  <c r="B32"/>
  <c r="B31"/>
  <c r="B30"/>
  <c r="B29"/>
  <c r="B28"/>
  <c r="B27"/>
  <c r="B26"/>
  <c r="B13"/>
  <c r="B50" s="1"/>
  <c r="B41" i="16" l="1"/>
  <c r="B44" i="6"/>
  <c r="B16"/>
  <c r="B58"/>
  <c r="B47"/>
  <c r="B46"/>
  <c r="B44" i="66"/>
  <c r="B50"/>
  <c r="B19"/>
  <c r="B18"/>
  <c r="B51" i="63"/>
  <c r="B54" s="1"/>
  <c r="B62"/>
  <c r="B16"/>
  <c r="B63"/>
  <c r="B48"/>
  <c r="B17"/>
  <c r="B25"/>
  <c r="B50" i="6" l="1"/>
  <c r="B60" i="66"/>
  <c r="B29"/>
  <c r="B64" i="63"/>
  <c r="B65" s="1"/>
  <c r="B24"/>
  <c r="B35" s="1"/>
  <c r="B60" i="6" l="1"/>
  <c r="B61" i="66"/>
  <c r="B62" s="1"/>
  <c r="B66" i="63"/>
  <c r="B61" i="6" l="1"/>
  <c r="B62" s="1"/>
  <c r="B63" i="66"/>
  <c r="B64" s="1"/>
  <c r="B65" s="1"/>
  <c r="B67" i="63"/>
  <c r="B68" s="1"/>
  <c r="B69" s="1"/>
  <c r="B66" i="66" l="1"/>
  <c r="B67"/>
  <c r="B71" i="63"/>
  <c r="B70"/>
  <c r="B48" i="62" l="1"/>
  <c r="B47"/>
  <c r="B40"/>
  <c r="B11"/>
  <c r="B15" s="1"/>
  <c r="B42"/>
  <c r="B41"/>
  <c r="B39"/>
  <c r="B38"/>
  <c r="B37"/>
  <c r="B36"/>
  <c r="B35"/>
  <c r="B34"/>
  <c r="B18"/>
  <c r="B17" s="1"/>
  <c r="G31"/>
  <c r="B33" s="1"/>
  <c r="B16" i="61"/>
  <c r="B15"/>
  <c r="B11"/>
  <c r="B36"/>
  <c r="B44"/>
  <c r="B43"/>
  <c r="B38"/>
  <c r="B37"/>
  <c r="B35"/>
  <c r="B34"/>
  <c r="B33"/>
  <c r="B32"/>
  <c r="B31"/>
  <c r="B30"/>
  <c r="B26" i="59"/>
  <c r="B24"/>
  <c r="B22"/>
  <c r="G27" i="61"/>
  <c r="B29" s="1"/>
  <c r="B44" i="38"/>
  <c r="B46" i="59"/>
  <c r="B42"/>
  <c r="B13"/>
  <c r="B17" s="1"/>
  <c r="B54"/>
  <c r="B53"/>
  <c r="B34" i="53"/>
  <c r="B32" i="54"/>
  <c r="B41" i="59"/>
  <c r="B48"/>
  <c r="B47"/>
  <c r="B45"/>
  <c r="B44"/>
  <c r="B43"/>
  <c r="B40"/>
  <c r="G37"/>
  <c r="B39" s="1"/>
  <c r="B39" i="56"/>
  <c r="B38"/>
  <c r="G29"/>
  <c r="G28"/>
  <c r="B31" s="1"/>
  <c r="B16"/>
  <c r="B11"/>
  <c r="B15" s="1"/>
  <c r="B30"/>
  <c r="B45"/>
  <c r="B44"/>
  <c r="B37"/>
  <c r="B36"/>
  <c r="B35"/>
  <c r="B34"/>
  <c r="B33"/>
  <c r="B32"/>
  <c r="G27"/>
  <c r="B29" s="1"/>
  <c r="B37" i="52"/>
  <c r="B39" i="53"/>
  <c r="B37" i="54"/>
  <c r="G32" i="53"/>
  <c r="B33" s="1"/>
  <c r="B45" i="49"/>
  <c r="B43" i="50"/>
  <c r="B43" i="51"/>
  <c r="B43" i="52"/>
  <c r="B45" i="53"/>
  <c r="B46" i="54"/>
  <c r="B45"/>
  <c r="B43"/>
  <c r="B39"/>
  <c r="B38"/>
  <c r="B36"/>
  <c r="B35"/>
  <c r="B34"/>
  <c r="B33"/>
  <c r="B31"/>
  <c r="B12"/>
  <c r="B16" s="1"/>
  <c r="G28"/>
  <c r="B14" i="53"/>
  <c r="B18" s="1"/>
  <c r="B37" i="51"/>
  <c r="B37" i="50"/>
  <c r="B39" i="49"/>
  <c r="B55" i="54" l="1"/>
  <c r="B42"/>
  <c r="B56"/>
  <c r="B54" i="56"/>
  <c r="B43" i="62"/>
  <c r="B39" i="61"/>
  <c r="B49" i="59"/>
  <c r="B40" i="56"/>
  <c r="B30" i="54"/>
  <c r="B40" s="1"/>
  <c r="B44"/>
  <c r="B48" i="53"/>
  <c r="B47"/>
  <c r="B46"/>
  <c r="B44"/>
  <c r="B41"/>
  <c r="B40"/>
  <c r="B38"/>
  <c r="B37"/>
  <c r="B36"/>
  <c r="B35"/>
  <c r="G30"/>
  <c r="B32" s="1"/>
  <c r="B12" i="52"/>
  <c r="B42" s="1"/>
  <c r="B46"/>
  <c r="B45"/>
  <c r="B39"/>
  <c r="B38"/>
  <c r="B36"/>
  <c r="B35"/>
  <c r="B34"/>
  <c r="B33"/>
  <c r="B32"/>
  <c r="B31"/>
  <c r="G28"/>
  <c r="B30" s="1"/>
  <c r="B16" i="51"/>
  <c r="B12"/>
  <c r="B42" s="1"/>
  <c r="B46"/>
  <c r="B45"/>
  <c r="B44"/>
  <c r="B39"/>
  <c r="B38"/>
  <c r="B36"/>
  <c r="B35"/>
  <c r="B34"/>
  <c r="B33"/>
  <c r="B32"/>
  <c r="B31"/>
  <c r="G28"/>
  <c r="B30" s="1"/>
  <c r="B12" i="50"/>
  <c r="B16" s="1"/>
  <c r="B46"/>
  <c r="B45"/>
  <c r="B39"/>
  <c r="B38"/>
  <c r="B36"/>
  <c r="B35"/>
  <c r="B34"/>
  <c r="B33"/>
  <c r="B32"/>
  <c r="B31"/>
  <c r="G28"/>
  <c r="B30" s="1"/>
  <c r="B48" i="49"/>
  <c r="B47" i="51" l="1"/>
  <c r="B55"/>
  <c r="B44" i="52"/>
  <c r="B47" s="1"/>
  <c r="B16"/>
  <c r="B40" i="51"/>
  <c r="B57" s="1"/>
  <c r="B56"/>
  <c r="B55" i="52"/>
  <c r="B42" i="53"/>
  <c r="B40" i="52"/>
  <c r="B56"/>
  <c r="B40" i="50"/>
  <c r="B14" i="49"/>
  <c r="B47"/>
  <c r="B41"/>
  <c r="B40"/>
  <c r="B38"/>
  <c r="B37"/>
  <c r="B36"/>
  <c r="B35"/>
  <c r="B34"/>
  <c r="B33"/>
  <c r="G30"/>
  <c r="B32" s="1"/>
  <c r="B57" i="47"/>
  <c r="B56"/>
  <c r="B55" i="46"/>
  <c r="B56"/>
  <c r="B40" i="47"/>
  <c r="B38"/>
  <c r="B34"/>
  <c r="B33" i="45"/>
  <c r="B31" i="46"/>
  <c r="B32" i="47"/>
  <c r="G30"/>
  <c r="B33" s="1"/>
  <c r="B46"/>
  <c r="B47"/>
  <c r="B41"/>
  <c r="B39"/>
  <c r="B37"/>
  <c r="B36"/>
  <c r="B35"/>
  <c r="B18"/>
  <c r="B13"/>
  <c r="G29"/>
  <c r="B31" s="1"/>
  <c r="B40" i="46"/>
  <c r="B39"/>
  <c r="B32"/>
  <c r="G28"/>
  <c r="B16"/>
  <c r="B11"/>
  <c r="B44" s="1"/>
  <c r="B30"/>
  <c r="B46"/>
  <c r="B45"/>
  <c r="B38"/>
  <c r="B37"/>
  <c r="B36"/>
  <c r="B35"/>
  <c r="B34"/>
  <c r="B33"/>
  <c r="G27"/>
  <c r="B29" s="1"/>
  <c r="B47" i="45"/>
  <c r="B42"/>
  <c r="B41"/>
  <c r="B40"/>
  <c r="B34"/>
  <c r="B31" i="42"/>
  <c r="B31" i="43"/>
  <c r="B31" i="44"/>
  <c r="G30" i="45"/>
  <c r="B48"/>
  <c r="B39"/>
  <c r="B38"/>
  <c r="B37"/>
  <c r="B36"/>
  <c r="B35"/>
  <c r="B32"/>
  <c r="B18"/>
  <c r="B13"/>
  <c r="B46" s="1"/>
  <c r="G29"/>
  <c r="B31" s="1"/>
  <c r="B36" i="44"/>
  <c r="B45" i="45" l="1"/>
  <c r="B17" i="47"/>
  <c r="B45"/>
  <c r="B15" i="46"/>
  <c r="B44" i="49"/>
  <c r="B57"/>
  <c r="B58"/>
  <c r="B17" i="45"/>
  <c r="B57"/>
  <c r="B41" i="46"/>
  <c r="B18" i="49"/>
  <c r="B42"/>
  <c r="B44" i="47"/>
  <c r="B42"/>
  <c r="B43" i="46"/>
  <c r="B47" s="1"/>
  <c r="B43" i="45"/>
  <c r="B58"/>
  <c r="G28" i="44"/>
  <c r="B11"/>
  <c r="B56" s="1"/>
  <c r="B40"/>
  <c r="B39"/>
  <c r="B38"/>
  <c r="B46"/>
  <c r="B45"/>
  <c r="B37"/>
  <c r="B35"/>
  <c r="B34"/>
  <c r="B33"/>
  <c r="B32"/>
  <c r="B30"/>
  <c r="G27"/>
  <c r="B29" s="1"/>
  <c r="B16"/>
  <c r="B16" i="43"/>
  <c r="B11"/>
  <c r="B43" s="1"/>
  <c r="B39"/>
  <c r="B38"/>
  <c r="B38" i="41"/>
  <c r="B36" i="43"/>
  <c r="B45"/>
  <c r="B44"/>
  <c r="B37"/>
  <c r="B35"/>
  <c r="B34"/>
  <c r="B33"/>
  <c r="B32"/>
  <c r="B30"/>
  <c r="G28"/>
  <c r="G27"/>
  <c r="B29" s="1"/>
  <c r="B40" i="42"/>
  <c r="B39"/>
  <c r="B36"/>
  <c r="B37"/>
  <c r="G28"/>
  <c r="B34"/>
  <c r="B57" i="46" l="1"/>
  <c r="B55" i="44"/>
  <c r="B15"/>
  <c r="B41"/>
  <c r="B15" i="43"/>
  <c r="B46"/>
  <c r="B55"/>
  <c r="B54"/>
  <c r="B40"/>
  <c r="B46" i="42"/>
  <c r="B45"/>
  <c r="B38"/>
  <c r="B35"/>
  <c r="B33"/>
  <c r="B32"/>
  <c r="B30"/>
  <c r="B16"/>
  <c r="B11"/>
  <c r="B15" s="1"/>
  <c r="G27"/>
  <c r="B29" s="1"/>
  <c r="B54" i="41"/>
  <c r="B40"/>
  <c r="B39"/>
  <c r="B38" i="40"/>
  <c r="G28" i="41"/>
  <c r="B55" i="42" l="1"/>
  <c r="B56"/>
  <c r="B56" i="43"/>
  <c r="B41" i="42"/>
  <c r="B44"/>
  <c r="B43"/>
  <c r="B37" i="41" l="1"/>
  <c r="B36"/>
  <c r="B35"/>
  <c r="B34"/>
  <c r="B33"/>
  <c r="B32"/>
  <c r="B31"/>
  <c r="B34" i="40"/>
  <c r="B33"/>
  <c r="B30" i="41"/>
  <c r="B40" i="40"/>
  <c r="B39"/>
  <c r="G29" l="1"/>
  <c r="B46"/>
  <c r="B45"/>
  <c r="B37"/>
  <c r="B36"/>
  <c r="B35"/>
  <c r="B32"/>
  <c r="B18"/>
  <c r="B11" i="41"/>
  <c r="B44" l="1"/>
  <c r="B55"/>
  <c r="B56"/>
  <c r="B15"/>
  <c r="B46"/>
  <c r="B45"/>
  <c r="B43"/>
  <c r="G27"/>
  <c r="B17" i="40"/>
  <c r="B11"/>
  <c r="B43" s="1"/>
  <c r="G28"/>
  <c r="B31" s="1"/>
  <c r="B29" i="41" l="1"/>
  <c r="B41" s="1"/>
  <c r="B55" i="40"/>
  <c r="B56"/>
  <c r="B44"/>
  <c r="B15"/>
  <c r="B56" i="62"/>
  <c r="B28"/>
  <c r="B27"/>
  <c r="B26"/>
  <c r="B25"/>
  <c r="B24"/>
  <c r="B23"/>
  <c r="B20"/>
  <c r="B19" s="1"/>
  <c r="B12"/>
  <c r="B52" i="61"/>
  <c r="B24"/>
  <c r="B23"/>
  <c r="B22"/>
  <c r="B21"/>
  <c r="B20"/>
  <c r="B19"/>
  <c r="B62" i="59"/>
  <c r="B34"/>
  <c r="B33"/>
  <c r="B32"/>
  <c r="B31"/>
  <c r="B30"/>
  <c r="B29"/>
  <c r="B25"/>
  <c r="B23"/>
  <c r="B21"/>
  <c r="B53" i="56"/>
  <c r="B24"/>
  <c r="B23"/>
  <c r="B22"/>
  <c r="B21"/>
  <c r="B20"/>
  <c r="B19"/>
  <c r="B54" i="54"/>
  <c r="G39"/>
  <c r="B25"/>
  <c r="B24"/>
  <c r="B23"/>
  <c r="B22"/>
  <c r="B21"/>
  <c r="B20"/>
  <c r="B56" i="53"/>
  <c r="B27"/>
  <c r="B26"/>
  <c r="B25"/>
  <c r="B24"/>
  <c r="B23"/>
  <c r="B22"/>
  <c r="B54" i="52"/>
  <c r="B25"/>
  <c r="B24"/>
  <c r="B23"/>
  <c r="B22"/>
  <c r="B21"/>
  <c r="B20"/>
  <c r="B18"/>
  <c r="B54" i="51"/>
  <c r="B58" s="1"/>
  <c r="B59" s="1"/>
  <c r="B60" s="1"/>
  <c r="B61" s="1"/>
  <c r="B62" s="1"/>
  <c r="B25"/>
  <c r="B24"/>
  <c r="B23"/>
  <c r="B22"/>
  <c r="B21"/>
  <c r="B20"/>
  <c r="B18"/>
  <c r="B54" i="50"/>
  <c r="G40"/>
  <c r="B25"/>
  <c r="B24"/>
  <c r="B23"/>
  <c r="B22"/>
  <c r="B21"/>
  <c r="B20"/>
  <c r="B56" i="49"/>
  <c r="B27"/>
  <c r="B26"/>
  <c r="B25"/>
  <c r="B24"/>
  <c r="B23"/>
  <c r="B22"/>
  <c r="B55" i="47"/>
  <c r="B26"/>
  <c r="B25"/>
  <c r="B24"/>
  <c r="B23"/>
  <c r="B22"/>
  <c r="B21"/>
  <c r="B54" i="46"/>
  <c r="B58" s="1"/>
  <c r="B24"/>
  <c r="B23"/>
  <c r="B22"/>
  <c r="B21"/>
  <c r="B20"/>
  <c r="B19"/>
  <c r="B56" i="45"/>
  <c r="B26"/>
  <c r="B25"/>
  <c r="B24"/>
  <c r="B23"/>
  <c r="B22"/>
  <c r="B21"/>
  <c r="B54" i="44"/>
  <c r="B24"/>
  <c r="B23"/>
  <c r="B22"/>
  <c r="B21"/>
  <c r="B20"/>
  <c r="B19"/>
  <c r="B53" i="43"/>
  <c r="B24"/>
  <c r="B23"/>
  <c r="B22"/>
  <c r="B21"/>
  <c r="B20"/>
  <c r="B19"/>
  <c r="B42"/>
  <c r="B54" i="42"/>
  <c r="B24"/>
  <c r="B23"/>
  <c r="B22"/>
  <c r="B21"/>
  <c r="B20"/>
  <c r="B19"/>
  <c r="B24" i="41"/>
  <c r="B23"/>
  <c r="B22"/>
  <c r="B21"/>
  <c r="B20"/>
  <c r="B19"/>
  <c r="B17"/>
  <c r="B54" i="40"/>
  <c r="B26"/>
  <c r="B25"/>
  <c r="B24"/>
  <c r="B23"/>
  <c r="B22"/>
  <c r="B21"/>
  <c r="B16"/>
  <c r="B46" i="62" l="1"/>
  <c r="B57"/>
  <c r="B58"/>
  <c r="B45"/>
  <c r="B16"/>
  <c r="B22"/>
  <c r="B53" i="61"/>
  <c r="B54"/>
  <c r="B41"/>
  <c r="B42"/>
  <c r="B18"/>
  <c r="B52" i="59"/>
  <c r="B51"/>
  <c r="B63"/>
  <c r="B64"/>
  <c r="B28"/>
  <c r="B42" i="56"/>
  <c r="B55"/>
  <c r="B17"/>
  <c r="B43"/>
  <c r="B18"/>
  <c r="B19" i="54"/>
  <c r="B58" i="53"/>
  <c r="B57"/>
  <c r="B20"/>
  <c r="B21"/>
  <c r="B19" i="52"/>
  <c r="B27" s="1"/>
  <c r="B19" i="51"/>
  <c r="B27" s="1"/>
  <c r="B55" i="50"/>
  <c r="B42"/>
  <c r="B44"/>
  <c r="B56"/>
  <c r="B18"/>
  <c r="B19"/>
  <c r="B21" i="49"/>
  <c r="B46"/>
  <c r="B49" s="1"/>
  <c r="B20" i="47"/>
  <c r="B17" i="46"/>
  <c r="B18"/>
  <c r="B20" i="45"/>
  <c r="B44" i="44"/>
  <c r="B43"/>
  <c r="B18"/>
  <c r="B17"/>
  <c r="B18" i="41"/>
  <c r="B26" s="1"/>
  <c r="B17" i="61"/>
  <c r="B18" i="59"/>
  <c r="B18" i="54"/>
  <c r="B27" s="1"/>
  <c r="B47"/>
  <c r="B49" i="53"/>
  <c r="B47" i="50"/>
  <c r="B20" i="49"/>
  <c r="B29" s="1"/>
  <c r="B19" i="47"/>
  <c r="B19" i="45"/>
  <c r="B47" i="44"/>
  <c r="B18" i="43"/>
  <c r="B17"/>
  <c r="B18" i="42"/>
  <c r="B17"/>
  <c r="B47" i="41"/>
  <c r="B57" s="1"/>
  <c r="B41" i="40"/>
  <c r="B20"/>
  <c r="B19"/>
  <c r="B26" i="43" l="1"/>
  <c r="B57" i="54"/>
  <c r="B58" s="1"/>
  <c r="B27" i="50"/>
  <c r="B55" i="59"/>
  <c r="B65" s="1"/>
  <c r="B66" s="1"/>
  <c r="B49" i="62"/>
  <c r="B21"/>
  <c r="B30" s="1"/>
  <c r="B26" i="61"/>
  <c r="B45"/>
  <c r="B26" i="56"/>
  <c r="B46"/>
  <c r="B59" i="53"/>
  <c r="B60" s="1"/>
  <c r="B29"/>
  <c r="B57" i="52"/>
  <c r="B58" s="1"/>
  <c r="B59" i="49"/>
  <c r="B57" i="50"/>
  <c r="B28" i="47"/>
  <c r="B26" i="46"/>
  <c r="B28" i="45"/>
  <c r="B49"/>
  <c r="B57" i="44"/>
  <c r="B58" s="1"/>
  <c r="B26"/>
  <c r="B27" i="59"/>
  <c r="B36" s="1"/>
  <c r="B48" i="47"/>
  <c r="B26" i="42"/>
  <c r="B47"/>
  <c r="B58" i="41"/>
  <c r="B59" s="1"/>
  <c r="B28" i="40"/>
  <c r="B47"/>
  <c r="B57" s="1"/>
  <c r="B59" i="62" l="1"/>
  <c r="B60"/>
  <c r="B55" i="61"/>
  <c r="B56" s="1"/>
  <c r="B67" i="59"/>
  <c r="B56" i="56"/>
  <c r="B59" i="54"/>
  <c r="B60" s="1"/>
  <c r="B61" i="53"/>
  <c r="B60" i="49"/>
  <c r="B61" s="1"/>
  <c r="B62" s="1"/>
  <c r="B63" s="1"/>
  <c r="B64" s="1"/>
  <c r="B66" s="1"/>
  <c r="B58" i="50"/>
  <c r="B59" s="1"/>
  <c r="B58" i="47"/>
  <c r="B59" s="1"/>
  <c r="B59" i="45"/>
  <c r="B59" i="44"/>
  <c r="B60" s="1"/>
  <c r="B61" s="1"/>
  <c r="B62" s="1"/>
  <c r="B60" i="41"/>
  <c r="B61" s="1"/>
  <c r="B62" s="1"/>
  <c r="B63" s="1"/>
  <c r="B57" i="42"/>
  <c r="B58" s="1"/>
  <c r="B58" i="40"/>
  <c r="B59" s="1"/>
  <c r="B59" i="52"/>
  <c r="B59" i="46"/>
  <c r="B57" i="43"/>
  <c r="B58" s="1"/>
  <c r="B61" i="62" l="1"/>
  <c r="B62" s="1"/>
  <c r="B57" i="61"/>
  <c r="B68" i="59"/>
  <c r="B69" s="1"/>
  <c r="B70" s="1"/>
  <c r="B57" i="56"/>
  <c r="B58" s="1"/>
  <c r="B61" i="54"/>
  <c r="B62" i="53"/>
  <c r="B63" s="1"/>
  <c r="B64" s="1"/>
  <c r="B60" i="50"/>
  <c r="B61" s="1"/>
  <c r="B62" s="1"/>
  <c r="B63" s="1"/>
  <c r="B60" i="47"/>
  <c r="B60" i="46"/>
  <c r="B61" s="1"/>
  <c r="B62" s="1"/>
  <c r="B60" i="45"/>
  <c r="B61" s="1"/>
  <c r="B59" i="43"/>
  <c r="B60" s="1"/>
  <c r="B61" s="1"/>
  <c r="B59" i="42"/>
  <c r="B60" s="1"/>
  <c r="B61" s="1"/>
  <c r="B62" s="1"/>
  <c r="B63" s="1"/>
  <c r="B63" i="62"/>
  <c r="B64" s="1"/>
  <c r="B60" i="52"/>
  <c r="B61" s="1"/>
  <c r="B62" s="1"/>
  <c r="B65" i="49"/>
  <c r="B64" i="41"/>
  <c r="B60" i="40"/>
  <c r="B61" s="1"/>
  <c r="B62" s="1"/>
  <c r="B58" i="61" l="1"/>
  <c r="B59" s="1"/>
  <c r="B60" s="1"/>
  <c r="B72" i="59"/>
  <c r="B71"/>
  <c r="B59" i="56"/>
  <c r="B60" s="1"/>
  <c r="B61" s="1"/>
  <c r="B62" i="54"/>
  <c r="B63" s="1"/>
  <c r="B61" i="47"/>
  <c r="B62" s="1"/>
  <c r="B63" s="1"/>
  <c r="B62" i="45"/>
  <c r="B63" s="1"/>
  <c r="B64" i="42"/>
  <c r="B66" i="62"/>
  <c r="B65"/>
  <c r="B66" i="53"/>
  <c r="B65"/>
  <c r="B64" i="52"/>
  <c r="B63"/>
  <c r="B64" i="50"/>
  <c r="B64" i="46"/>
  <c r="B63"/>
  <c r="B64" i="44"/>
  <c r="B63"/>
  <c r="B63" i="43"/>
  <c r="B62"/>
  <c r="B64" i="40"/>
  <c r="B63"/>
  <c r="B64" i="54" l="1"/>
  <c r="B61" i="61"/>
  <c r="B62"/>
  <c r="B62" i="56"/>
  <c r="B63"/>
  <c r="B64" i="45"/>
  <c r="B65" s="1"/>
  <c r="B64" i="51"/>
  <c r="B63"/>
  <c r="B65" i="47"/>
  <c r="B64"/>
  <c r="B66" i="45" l="1"/>
  <c r="B50" i="37"/>
  <c r="G31"/>
  <c r="B35" s="1"/>
  <c r="B61" i="11"/>
  <c r="B60"/>
  <c r="G29"/>
  <c r="G28" i="38"/>
  <c r="B50" i="11"/>
  <c r="B50" i="38" l="1"/>
  <c r="B35" l="1"/>
  <c r="B37"/>
  <c r="B37" i="37"/>
  <c r="B59" i="38"/>
  <c r="B51"/>
  <c r="B48"/>
  <c r="B43"/>
  <c r="B42"/>
  <c r="B41"/>
  <c r="B40"/>
  <c r="B39"/>
  <c r="B38"/>
  <c r="B36"/>
  <c r="B30"/>
  <c r="B29"/>
  <c r="B28"/>
  <c r="B27"/>
  <c r="B26"/>
  <c r="B25"/>
  <c r="B15"/>
  <c r="B23" s="1"/>
  <c r="B11"/>
  <c r="B61" l="1"/>
  <c r="B60"/>
  <c r="B24"/>
  <c r="B32"/>
  <c r="B45"/>
  <c r="B47"/>
  <c r="B52" s="1"/>
  <c r="B49"/>
  <c r="B62" l="1"/>
  <c r="B63" l="1"/>
  <c r="B64" s="1"/>
  <c r="B65" s="1"/>
  <c r="B66" s="1"/>
  <c r="B67" s="1"/>
  <c r="B68" s="1"/>
  <c r="B42" i="37"/>
  <c r="B41"/>
  <c r="G33"/>
  <c r="B51"/>
  <c r="B48"/>
  <c r="B14"/>
  <c r="B43"/>
  <c r="B40"/>
  <c r="B39"/>
  <c r="B38"/>
  <c r="B36"/>
  <c r="B18"/>
  <c r="B19"/>
  <c r="B51" i="11"/>
  <c r="B49"/>
  <c r="B48"/>
  <c r="B47"/>
  <c r="B52" s="1"/>
  <c r="B43"/>
  <c r="B42"/>
  <c r="B41"/>
  <c r="B40"/>
  <c r="B16"/>
  <c r="B59"/>
  <c r="B39"/>
  <c r="B38"/>
  <c r="B36"/>
  <c r="B30"/>
  <c r="B35"/>
  <c r="B29"/>
  <c r="B28"/>
  <c r="B27"/>
  <c r="B26"/>
  <c r="B25"/>
  <c r="B24"/>
  <c r="B18"/>
  <c r="C54" i="27"/>
  <c r="C56" i="21"/>
  <c r="C60" i="13"/>
  <c r="C54" i="12"/>
  <c r="C46" i="9"/>
  <c r="C55" i="8"/>
  <c r="C56" i="4"/>
  <c r="C65" i="3"/>
  <c r="C48" i="35"/>
  <c r="B20" i="23"/>
  <c r="C54" i="13"/>
  <c r="C67" i="12"/>
  <c r="C70" i="10"/>
  <c r="C51"/>
  <c r="C70" i="9"/>
  <c r="C51"/>
  <c r="C68" i="8"/>
  <c r="C48"/>
  <c r="C47"/>
  <c r="C70" i="7"/>
  <c r="C51"/>
  <c r="C69" i="4"/>
  <c r="C49"/>
  <c r="B13" i="28"/>
  <c r="B53" l="1"/>
  <c r="B51"/>
  <c r="B64"/>
  <c r="B65"/>
  <c r="B69" i="38"/>
  <c r="B45" i="37"/>
  <c r="B22" i="11"/>
  <c r="B49" i="37"/>
  <c r="B61"/>
  <c r="B23" i="11"/>
  <c r="B47" i="37"/>
  <c r="B45" i="11"/>
  <c r="B26" i="28"/>
  <c r="B20"/>
  <c r="B18"/>
  <c r="B22"/>
  <c r="B52" i="37" l="1"/>
  <c r="B56" i="28"/>
  <c r="B32" i="11"/>
  <c r="B62"/>
  <c r="B62" i="37"/>
  <c r="B63" s="1"/>
  <c r="C67" i="35"/>
  <c r="C66"/>
  <c r="C57"/>
  <c r="C56"/>
  <c r="C55"/>
  <c r="C54"/>
  <c r="C53"/>
  <c r="C49"/>
  <c r="C50"/>
  <c r="C46"/>
  <c r="C47"/>
  <c r="C44"/>
  <c r="C42"/>
  <c r="C41"/>
  <c r="C43"/>
  <c r="C38"/>
  <c r="C29"/>
  <c r="C19"/>
  <c r="C18"/>
  <c r="B63" i="11" l="1"/>
  <c r="B64" s="1"/>
  <c r="B24" i="33"/>
  <c r="B23"/>
  <c r="B22"/>
  <c r="B20"/>
  <c r="B24" i="32"/>
  <c r="B23"/>
  <c r="B22"/>
  <c r="B20"/>
  <c r="B24" i="31"/>
  <c r="B23"/>
  <c r="B22"/>
  <c r="B20"/>
  <c r="B24" i="30"/>
  <c r="B23"/>
  <c r="B22"/>
  <c r="B20"/>
  <c r="B27" i="37"/>
  <c r="B26"/>
  <c r="B25"/>
  <c r="B23"/>
  <c r="B65" i="11" l="1"/>
  <c r="B66" s="1"/>
  <c r="B67" s="1"/>
  <c r="C67" i="27"/>
  <c r="C66"/>
  <c r="C57"/>
  <c r="C56"/>
  <c r="C55"/>
  <c r="C53"/>
  <c r="C49"/>
  <c r="C50"/>
  <c r="C47"/>
  <c r="C46"/>
  <c r="C44"/>
  <c r="C42"/>
  <c r="C41"/>
  <c r="C43"/>
  <c r="C40"/>
  <c r="C38"/>
  <c r="K19"/>
  <c r="C19"/>
  <c r="C18"/>
  <c r="B31" i="26"/>
  <c r="B30"/>
  <c r="B29"/>
  <c r="B28"/>
  <c r="B26"/>
  <c r="B13"/>
  <c r="B24" i="25"/>
  <c r="B23"/>
  <c r="B22"/>
  <c r="B20"/>
  <c r="C60" i="36"/>
  <c r="C59"/>
  <c r="C57"/>
  <c r="C52"/>
  <c r="C53"/>
  <c r="C51"/>
  <c r="C50"/>
  <c r="C49"/>
  <c r="C47"/>
  <c r="C45"/>
  <c r="C44"/>
  <c r="C46"/>
  <c r="C41"/>
  <c r="C19"/>
  <c r="B29" i="24"/>
  <c r="B27"/>
  <c r="B26"/>
  <c r="B24"/>
  <c r="B18"/>
  <c r="B20"/>
  <c r="B28" i="23"/>
  <c r="B27"/>
  <c r="B26"/>
  <c r="B24"/>
  <c r="B18"/>
  <c r="C69" i="21"/>
  <c r="C68"/>
  <c r="C59"/>
  <c r="C58"/>
  <c r="C57"/>
  <c r="C55"/>
  <c r="C51"/>
  <c r="C52"/>
  <c r="C49"/>
  <c r="C48"/>
  <c r="C47"/>
  <c r="C44"/>
  <c r="C42"/>
  <c r="C41"/>
  <c r="C43"/>
  <c r="C40"/>
  <c r="C39"/>
  <c r="C38"/>
  <c r="C19"/>
  <c r="C18"/>
  <c r="B63" i="26" l="1"/>
  <c r="B52"/>
  <c r="B64"/>
  <c r="B50"/>
  <c r="B69" i="11"/>
  <c r="B68"/>
  <c r="J24" i="21"/>
  <c r="K19"/>
  <c r="B24" i="19" l="1"/>
  <c r="B23"/>
  <c r="B22"/>
  <c r="B20"/>
  <c r="B24" i="18" l="1"/>
  <c r="B23"/>
  <c r="B22"/>
  <c r="B20"/>
  <c r="B24" i="17"/>
  <c r="B23"/>
  <c r="B22"/>
  <c r="B20"/>
  <c r="B24" i="16"/>
  <c r="B23"/>
  <c r="B22"/>
  <c r="B20"/>
  <c r="C63" i="13" l="1"/>
  <c r="C62"/>
  <c r="C56"/>
  <c r="C55"/>
  <c r="C53"/>
  <c r="C52"/>
  <c r="C50"/>
  <c r="C48"/>
  <c r="C47"/>
  <c r="C49"/>
  <c r="C46"/>
  <c r="C44"/>
  <c r="C15"/>
  <c r="C73" s="1"/>
  <c r="C29"/>
  <c r="C28"/>
  <c r="C26"/>
  <c r="C25"/>
  <c r="C23"/>
  <c r="C22"/>
  <c r="C19"/>
  <c r="C18"/>
  <c r="K20"/>
  <c r="K19"/>
  <c r="C69" i="10"/>
  <c r="C60"/>
  <c r="C59"/>
  <c r="C58"/>
  <c r="C57"/>
  <c r="C56"/>
  <c r="C53"/>
  <c r="C52"/>
  <c r="C50"/>
  <c r="C49"/>
  <c r="C44"/>
  <c r="C46"/>
  <c r="C45"/>
  <c r="C41"/>
  <c r="C23"/>
  <c r="C22"/>
  <c r="C26"/>
  <c r="C25"/>
  <c r="C19"/>
  <c r="C18"/>
  <c r="C69" i="9"/>
  <c r="C60"/>
  <c r="C59"/>
  <c r="C58"/>
  <c r="C57"/>
  <c r="C56"/>
  <c r="C53"/>
  <c r="C52"/>
  <c r="C50"/>
  <c r="C49"/>
  <c r="C48"/>
  <c r="C47"/>
  <c r="C44"/>
  <c r="C45"/>
  <c r="C41"/>
  <c r="K19"/>
  <c r="C23"/>
  <c r="C22"/>
  <c r="C26"/>
  <c r="C25"/>
  <c r="C19"/>
  <c r="C18"/>
  <c r="C56" i="8"/>
  <c r="C67"/>
  <c r="C58"/>
  <c r="C57"/>
  <c r="C54"/>
  <c r="C51"/>
  <c r="C50"/>
  <c r="C49"/>
  <c r="C42"/>
  <c r="C41"/>
  <c r="C43"/>
  <c r="C40"/>
  <c r="C39"/>
  <c r="C38"/>
  <c r="C23"/>
  <c r="C22"/>
  <c r="C19"/>
  <c r="C18"/>
  <c r="K19"/>
  <c r="C69" i="7"/>
  <c r="C60"/>
  <c r="C59"/>
  <c r="C58"/>
  <c r="C57"/>
  <c r="C56"/>
  <c r="C53"/>
  <c r="C52"/>
  <c r="C50"/>
  <c r="C49"/>
  <c r="C45"/>
  <c r="C44"/>
  <c r="C46"/>
  <c r="C41"/>
  <c r="C26"/>
  <c r="C25"/>
  <c r="C23"/>
  <c r="C22"/>
  <c r="C19"/>
  <c r="C18"/>
  <c r="C68" i="4"/>
  <c r="C59"/>
  <c r="C58"/>
  <c r="C57"/>
  <c r="C55"/>
  <c r="C52"/>
  <c r="C51"/>
  <c r="C50"/>
  <c r="C45"/>
  <c r="C44"/>
  <c r="C46"/>
  <c r="C43"/>
  <c r="C42"/>
  <c r="C41"/>
  <c r="C23"/>
  <c r="C22"/>
  <c r="C26"/>
  <c r="C25"/>
  <c r="C19"/>
  <c r="C18"/>
  <c r="C68" i="3"/>
  <c r="C67"/>
  <c r="C61"/>
  <c r="C60"/>
  <c r="C55"/>
  <c r="C50"/>
  <c r="C51"/>
  <c r="C52"/>
  <c r="C49"/>
  <c r="C48"/>
  <c r="C47"/>
  <c r="K19"/>
  <c r="C26"/>
  <c r="C25"/>
  <c r="C23"/>
  <c r="C22"/>
  <c r="C32"/>
  <c r="C31"/>
  <c r="C29"/>
  <c r="C28"/>
  <c r="C61" i="13" l="1"/>
  <c r="C59"/>
  <c r="C72"/>
  <c r="C19" i="3"/>
  <c r="C18"/>
  <c r="C14" l="1"/>
  <c r="C66" i="12"/>
  <c r="C57"/>
  <c r="C56"/>
  <c r="C55"/>
  <c r="C53"/>
  <c r="C49"/>
  <c r="C50"/>
  <c r="C48"/>
  <c r="C47"/>
  <c r="C44"/>
  <c r="C42"/>
  <c r="C41"/>
  <c r="C43"/>
  <c r="C40"/>
  <c r="K20"/>
  <c r="C38"/>
  <c r="K19"/>
  <c r="C19"/>
  <c r="C18"/>
  <c r="C78" i="3" l="1"/>
  <c r="C77"/>
  <c r="C66"/>
  <c r="C64"/>
  <c r="B24" i="6"/>
  <c r="B23"/>
  <c r="B22"/>
  <c r="B20"/>
  <c r="C48" i="27" l="1"/>
  <c r="K27" i="13" l="1"/>
  <c r="C47" i="7"/>
  <c r="C48"/>
  <c r="C56" i="3"/>
  <c r="C54"/>
  <c r="C53"/>
  <c r="J7"/>
  <c r="K20" s="1"/>
  <c r="C27" i="13" l="1"/>
  <c r="C54" i="7"/>
  <c r="J24" i="3"/>
  <c r="K24" s="1"/>
  <c r="B29" i="37" l="1"/>
  <c r="B28"/>
  <c r="B24"/>
  <c r="C45" i="21" l="1"/>
  <c r="K20"/>
  <c r="C45" i="27" l="1"/>
  <c r="C51" s="1"/>
  <c r="K20"/>
  <c r="K24"/>
  <c r="K21"/>
  <c r="B60" i="37" l="1"/>
  <c r="B64" s="1"/>
  <c r="K24" i="21"/>
  <c r="K21"/>
  <c r="C45" i="12"/>
  <c r="K24"/>
  <c r="K21"/>
  <c r="C48" i="4"/>
  <c r="C47"/>
  <c r="K20" i="8"/>
  <c r="K20" i="4"/>
  <c r="C21"/>
  <c r="J24"/>
  <c r="K24" s="1"/>
  <c r="K19"/>
  <c r="C45" i="35"/>
  <c r="C51" s="1"/>
  <c r="K24"/>
  <c r="K19"/>
  <c r="C45" i="8"/>
  <c r="C44"/>
  <c r="J24"/>
  <c r="K24" s="1"/>
  <c r="B59" i="37"/>
  <c r="B65" s="1"/>
  <c r="B30"/>
  <c r="B22"/>
  <c r="C48" i="36"/>
  <c r="C54" s="1"/>
  <c r="C14"/>
  <c r="C68"/>
  <c r="C36"/>
  <c r="C35"/>
  <c r="C34"/>
  <c r="C33"/>
  <c r="C32"/>
  <c r="C31"/>
  <c r="C30"/>
  <c r="C29"/>
  <c r="C20"/>
  <c r="K19"/>
  <c r="C69" l="1"/>
  <c r="C58"/>
  <c r="C56"/>
  <c r="C18"/>
  <c r="C70"/>
  <c r="B66" i="37"/>
  <c r="B67" s="1"/>
  <c r="C28" i="36"/>
  <c r="C27"/>
  <c r="C24" i="4"/>
  <c r="C20" s="1"/>
  <c r="B21" i="37"/>
  <c r="B32" s="1"/>
  <c r="C48" i="10"/>
  <c r="C47"/>
  <c r="C54" s="1"/>
  <c r="K19"/>
  <c r="C54" i="9"/>
  <c r="K19" i="7"/>
  <c r="C61" i="36" l="1"/>
  <c r="C71"/>
  <c r="C72" s="1"/>
  <c r="C73" s="1"/>
  <c r="C74" s="1"/>
  <c r="C75" s="1"/>
  <c r="C76" s="1"/>
  <c r="C78" s="1"/>
  <c r="B68" i="37"/>
  <c r="C38" i="36"/>
  <c r="C51" i="13"/>
  <c r="B69" i="37" l="1"/>
  <c r="C77" i="36"/>
  <c r="K24" i="13"/>
  <c r="K21"/>
  <c r="C46" i="21"/>
  <c r="C60"/>
  <c r="C57" i="13"/>
  <c r="C46" i="12"/>
  <c r="C51" s="1"/>
  <c r="C46" i="8"/>
  <c r="C52" s="1"/>
  <c r="C53" i="4"/>
  <c r="C58" i="35"/>
  <c r="C65"/>
  <c r="C33"/>
  <c r="C32"/>
  <c r="C31"/>
  <c r="C30"/>
  <c r="C28"/>
  <c r="C27"/>
  <c r="C26"/>
  <c r="C20"/>
  <c r="B58" i="33"/>
  <c r="B64" s="1"/>
  <c r="B65" s="1"/>
  <c r="B66" s="1"/>
  <c r="B27"/>
  <c r="B26"/>
  <c r="B25"/>
  <c r="B21"/>
  <c r="B55" i="32"/>
  <c r="B26"/>
  <c r="B25"/>
  <c r="B21"/>
  <c r="B48" i="31"/>
  <c r="B55"/>
  <c r="B26"/>
  <c r="B25"/>
  <c r="B21"/>
  <c r="B55" i="30"/>
  <c r="B61" s="1"/>
  <c r="B62" s="1"/>
  <c r="B63" s="1"/>
  <c r="B26"/>
  <c r="B25"/>
  <c r="B21"/>
  <c r="B66" i="28"/>
  <c r="B67" s="1"/>
  <c r="B63"/>
  <c r="B32"/>
  <c r="B31"/>
  <c r="B30"/>
  <c r="B29"/>
  <c r="B28"/>
  <c r="B27"/>
  <c r="C58" i="27"/>
  <c r="C26"/>
  <c r="C65"/>
  <c r="C33"/>
  <c r="C32"/>
  <c r="C31"/>
  <c r="C30"/>
  <c r="C29"/>
  <c r="C28"/>
  <c r="C27"/>
  <c r="C20"/>
  <c r="B55" i="26"/>
  <c r="B62"/>
  <c r="B33"/>
  <c r="B32"/>
  <c r="B27"/>
  <c r="B17"/>
  <c r="B55" i="25"/>
  <c r="B26"/>
  <c r="B25"/>
  <c r="B21"/>
  <c r="B28" i="24"/>
  <c r="B59"/>
  <c r="B65" s="1"/>
  <c r="B31"/>
  <c r="B30"/>
  <c r="B25"/>
  <c r="B59" i="23"/>
  <c r="B30"/>
  <c r="B29"/>
  <c r="B25"/>
  <c r="C67" i="21"/>
  <c r="C50"/>
  <c r="C33"/>
  <c r="C32"/>
  <c r="C31"/>
  <c r="C30"/>
  <c r="C29"/>
  <c r="C28"/>
  <c r="C27"/>
  <c r="C26"/>
  <c r="C20"/>
  <c r="B58" i="20"/>
  <c r="B64" s="1"/>
  <c r="B65" s="1"/>
  <c r="B66" s="1"/>
  <c r="B27"/>
  <c r="B26"/>
  <c r="B25"/>
  <c r="B24"/>
  <c r="B23"/>
  <c r="B22"/>
  <c r="B21"/>
  <c r="B20"/>
  <c r="B57" i="19"/>
  <c r="B26"/>
  <c r="B25"/>
  <c r="B21"/>
  <c r="B57" i="18"/>
  <c r="B26"/>
  <c r="B25"/>
  <c r="B21"/>
  <c r="B18"/>
  <c r="B55" i="17"/>
  <c r="B27"/>
  <c r="B26"/>
  <c r="B25"/>
  <c r="B21"/>
  <c r="B48" i="16"/>
  <c r="B55"/>
  <c r="B26"/>
  <c r="B25"/>
  <c r="B21"/>
  <c r="C64" i="13"/>
  <c r="C21"/>
  <c r="C24"/>
  <c r="C71"/>
  <c r="C39"/>
  <c r="C38"/>
  <c r="C37"/>
  <c r="C36"/>
  <c r="C35"/>
  <c r="C34"/>
  <c r="C33"/>
  <c r="C32"/>
  <c r="C58" i="12"/>
  <c r="C26"/>
  <c r="C65"/>
  <c r="C33"/>
  <c r="C32"/>
  <c r="C31"/>
  <c r="C30"/>
  <c r="C29"/>
  <c r="C28"/>
  <c r="C27"/>
  <c r="C20"/>
  <c r="C24" s="1"/>
  <c r="C68" i="10"/>
  <c r="C36"/>
  <c r="C35"/>
  <c r="C34"/>
  <c r="C33"/>
  <c r="C32"/>
  <c r="C31"/>
  <c r="C30"/>
  <c r="C29"/>
  <c r="C61" i="9"/>
  <c r="C71" s="1"/>
  <c r="C72" s="1"/>
  <c r="C68"/>
  <c r="C36"/>
  <c r="C35"/>
  <c r="C34"/>
  <c r="C33"/>
  <c r="C32"/>
  <c r="C31"/>
  <c r="C30"/>
  <c r="C29"/>
  <c r="C21"/>
  <c r="C59" i="8"/>
  <c r="C21"/>
  <c r="C20" s="1"/>
  <c r="C66"/>
  <c r="C33"/>
  <c r="C32"/>
  <c r="C31"/>
  <c r="C30"/>
  <c r="C29"/>
  <c r="C28"/>
  <c r="C27"/>
  <c r="C26"/>
  <c r="C61" i="7"/>
  <c r="C71" s="1"/>
  <c r="C72" s="1"/>
  <c r="C33"/>
  <c r="C31"/>
  <c r="C29"/>
  <c r="C21"/>
  <c r="C68"/>
  <c r="C36"/>
  <c r="C35"/>
  <c r="C34"/>
  <c r="C32"/>
  <c r="C30"/>
  <c r="B57" i="6"/>
  <c r="B63" s="1"/>
  <c r="B64" s="1"/>
  <c r="B65" s="1"/>
  <c r="B67" s="1"/>
  <c r="B27"/>
  <c r="B26"/>
  <c r="B25"/>
  <c r="B21"/>
  <c r="C60" i="4"/>
  <c r="C67"/>
  <c r="C36"/>
  <c r="C35"/>
  <c r="C34"/>
  <c r="C33"/>
  <c r="C32"/>
  <c r="C31"/>
  <c r="C30"/>
  <c r="C29"/>
  <c r="C30" i="3"/>
  <c r="C76"/>
  <c r="C59"/>
  <c r="C58"/>
  <c r="C57"/>
  <c r="C42"/>
  <c r="C41"/>
  <c r="C40"/>
  <c r="C39"/>
  <c r="C38"/>
  <c r="C37"/>
  <c r="C36"/>
  <c r="C35"/>
  <c r="C21"/>
  <c r="B58" i="16" l="1"/>
  <c r="B63" i="19"/>
  <c r="B64" s="1"/>
  <c r="B65" s="1"/>
  <c r="B58" i="31"/>
  <c r="B65" i="26"/>
  <c r="B66" s="1"/>
  <c r="B65" i="23"/>
  <c r="B66" s="1"/>
  <c r="B67" s="1"/>
  <c r="C53" i="21"/>
  <c r="C68" i="35"/>
  <c r="C69" s="1"/>
  <c r="C68" i="27"/>
  <c r="C69" s="1"/>
  <c r="B59" i="16"/>
  <c r="C68" i="12"/>
  <c r="C69" s="1"/>
  <c r="C74" i="13"/>
  <c r="C75" s="1"/>
  <c r="C69" i="8"/>
  <c r="C70" s="1"/>
  <c r="C70" i="4"/>
  <c r="C71" s="1"/>
  <c r="C70" i="21"/>
  <c r="C71" s="1"/>
  <c r="C20" i="13"/>
  <c r="C30" s="1"/>
  <c r="C25" i="27"/>
  <c r="C28" i="4"/>
  <c r="C28" i="9"/>
  <c r="B23" i="23"/>
  <c r="B19" i="25"/>
  <c r="B19" i="30"/>
  <c r="C25" i="35"/>
  <c r="C25" i="21"/>
  <c r="B23" i="24"/>
  <c r="B25" i="28"/>
  <c r="B19" i="33"/>
  <c r="C24" i="9"/>
  <c r="C20" s="1"/>
  <c r="C27" s="1"/>
  <c r="C28" i="10"/>
  <c r="B19" i="18"/>
  <c r="B28" s="1"/>
  <c r="B19" i="32"/>
  <c r="B48"/>
  <c r="C61" i="10"/>
  <c r="C24" i="35"/>
  <c r="B18" i="33"/>
  <c r="B18" i="32"/>
  <c r="B19" i="31"/>
  <c r="B18" i="30"/>
  <c r="C24" i="27"/>
  <c r="C35" s="1"/>
  <c r="B25" i="26"/>
  <c r="B19" i="20"/>
  <c r="B18" i="19"/>
  <c r="B19"/>
  <c r="B18" i="16"/>
  <c r="C21" i="10"/>
  <c r="C25" i="8"/>
  <c r="C24" i="7"/>
  <c r="C20" s="1"/>
  <c r="C27" s="1"/>
  <c r="B19" i="6"/>
  <c r="C24" i="3"/>
  <c r="C62"/>
  <c r="B18" i="31"/>
  <c r="B17" i="24"/>
  <c r="B22" s="1"/>
  <c r="C24" i="21"/>
  <c r="B18" i="20"/>
  <c r="C31" i="13"/>
  <c r="C25" i="12"/>
  <c r="C35" s="1"/>
  <c r="B18" i="6"/>
  <c r="C27" i="3"/>
  <c r="C34"/>
  <c r="B24" i="26"/>
  <c r="B18" i="25"/>
  <c r="B17" i="23"/>
  <c r="B22" s="1"/>
  <c r="B18" i="17"/>
  <c r="B19"/>
  <c r="B19" i="16"/>
  <c r="C24" i="10"/>
  <c r="C24" i="8"/>
  <c r="C28" i="7"/>
  <c r="C69" i="3"/>
  <c r="C38" i="9" l="1"/>
  <c r="B58" i="32"/>
  <c r="B59" i="31"/>
  <c r="B60" s="1"/>
  <c r="B67" i="26"/>
  <c r="B29" i="20"/>
  <c r="B67" s="1"/>
  <c r="B28" i="16"/>
  <c r="C71" i="10"/>
  <c r="C72" s="1"/>
  <c r="C73" s="1"/>
  <c r="C35" i="8"/>
  <c r="C35" i="21"/>
  <c r="C79" i="3"/>
  <c r="C80" s="1"/>
  <c r="B28" i="31"/>
  <c r="B32" i="24"/>
  <c r="C72" i="4"/>
  <c r="B69" i="23"/>
  <c r="C35" i="35"/>
  <c r="B29" i="33"/>
  <c r="B28" i="32"/>
  <c r="B28" i="30"/>
  <c r="B17" i="28"/>
  <c r="B35" i="26"/>
  <c r="B28" i="25"/>
  <c r="B32" i="23"/>
  <c r="B68" s="1"/>
  <c r="C20" i="10"/>
  <c r="C27" s="1"/>
  <c r="C38" s="1"/>
  <c r="C76" i="13"/>
  <c r="C77" s="1"/>
  <c r="C78" s="1"/>
  <c r="C79" s="1"/>
  <c r="C81" s="1"/>
  <c r="C70" i="35"/>
  <c r="B60" i="16"/>
  <c r="B61" s="1"/>
  <c r="B66" i="24"/>
  <c r="C73" i="7"/>
  <c r="C70" i="12"/>
  <c r="C71" s="1"/>
  <c r="C72" s="1"/>
  <c r="C73" s="1"/>
  <c r="C75" s="1"/>
  <c r="B68" i="28"/>
  <c r="C20" i="3"/>
  <c r="C33" s="1"/>
  <c r="C44" s="1"/>
  <c r="B29" i="17"/>
  <c r="B28" i="19"/>
  <c r="B68" i="33"/>
  <c r="C72" i="21"/>
  <c r="B29" i="6"/>
  <c r="C41" i="13"/>
  <c r="C27" i="4"/>
  <c r="C38" s="1"/>
  <c r="B62" i="18"/>
  <c r="C71" i="8"/>
  <c r="C38" i="7"/>
  <c r="B63" i="18" l="1"/>
  <c r="B64"/>
  <c r="B67" i="24"/>
  <c r="B69" s="1"/>
  <c r="B59" i="32"/>
  <c r="B60" s="1"/>
  <c r="B61" s="1"/>
  <c r="B61" i="31"/>
  <c r="B62" s="1"/>
  <c r="B63" s="1"/>
  <c r="B65" s="1"/>
  <c r="B69" i="28"/>
  <c r="B70" s="1"/>
  <c r="B71" s="1"/>
  <c r="B24"/>
  <c r="B34" s="1"/>
  <c r="B68" i="26"/>
  <c r="B69" s="1"/>
  <c r="B70" s="1"/>
  <c r="B72" s="1"/>
  <c r="C81" i="3"/>
  <c r="C82" s="1"/>
  <c r="C83" s="1"/>
  <c r="B65" i="30"/>
  <c r="C80" i="13"/>
  <c r="B67" i="19"/>
  <c r="C71" i="35"/>
  <c r="C72" s="1"/>
  <c r="C73" s="1"/>
  <c r="C75" s="1"/>
  <c r="B67" i="33"/>
  <c r="C70" i="27"/>
  <c r="B60" i="25"/>
  <c r="B68" i="24"/>
  <c r="B61" i="17"/>
  <c r="B62" s="1"/>
  <c r="C74" i="12"/>
  <c r="C73" i="9"/>
  <c r="C74" s="1"/>
  <c r="C75" s="1"/>
  <c r="C76" s="1"/>
  <c r="C78" s="1"/>
  <c r="B66" i="6"/>
  <c r="C73" i="21"/>
  <c r="C74" s="1"/>
  <c r="C75" s="1"/>
  <c r="C77" s="1"/>
  <c r="B68" i="20"/>
  <c r="B65" i="18"/>
  <c r="B67" s="1"/>
  <c r="B62" i="16"/>
  <c r="B63" s="1"/>
  <c r="C74" i="10"/>
  <c r="C75" s="1"/>
  <c r="C76" s="1"/>
  <c r="C78" s="1"/>
  <c r="C72" i="8"/>
  <c r="C73" s="1"/>
  <c r="C74" s="1"/>
  <c r="C76" s="1"/>
  <c r="C74" i="7"/>
  <c r="C75" s="1"/>
  <c r="C76" s="1"/>
  <c r="C78" s="1"/>
  <c r="C73" i="4"/>
  <c r="B62" i="32" l="1"/>
  <c r="B64" i="31"/>
  <c r="B72" i="28"/>
  <c r="B73"/>
  <c r="B71" i="26"/>
  <c r="B61" i="25"/>
  <c r="B62" s="1"/>
  <c r="B63" s="1"/>
  <c r="B64" s="1"/>
  <c r="B64" i="16"/>
  <c r="C71" i="27"/>
  <c r="C74" i="4"/>
  <c r="C75" s="1"/>
  <c r="C77" s="1"/>
  <c r="C84" i="3"/>
  <c r="C74" i="35"/>
  <c r="B64" i="30"/>
  <c r="C76" i="21"/>
  <c r="B66" i="19"/>
  <c r="B66" i="18"/>
  <c r="C77" i="10"/>
  <c r="C77" i="9"/>
  <c r="C75" i="8"/>
  <c r="C77" i="7"/>
  <c r="B63" i="32" l="1"/>
  <c r="B64" s="1"/>
  <c r="B65" i="25"/>
  <c r="B63" i="17"/>
  <c r="B64" s="1"/>
  <c r="B65" i="16"/>
  <c r="C85" i="3"/>
  <c r="C86"/>
  <c r="C76" i="4"/>
  <c r="C72" i="27"/>
  <c r="C73" s="1"/>
  <c r="C75" s="1"/>
  <c r="B65" i="32" l="1"/>
  <c r="B65" i="17"/>
  <c r="C74" i="27"/>
</calcChain>
</file>

<file path=xl/sharedStrings.xml><?xml version="1.0" encoding="utf-8"?>
<sst xmlns="http://schemas.openxmlformats.org/spreadsheetml/2006/main" count="7554" uniqueCount="1100">
  <si>
    <t>УТВЕРЖДАЮ</t>
  </si>
  <si>
    <t>Орджоникидзевского района"</t>
  </si>
  <si>
    <t>Общая площадь, кв. м.</t>
  </si>
  <si>
    <t>Площадь нежилых помещений, кв.м.</t>
  </si>
  <si>
    <t>Статьи доходов</t>
  </si>
  <si>
    <t>Сумма, руб.</t>
  </si>
  <si>
    <t>Обоснование:расчет платы на 1 кв.м.площади,ТБО на 1 чел.</t>
  </si>
  <si>
    <t>1.Начисление населению</t>
  </si>
  <si>
    <t>в т. ч. вывоз мусора (население)</t>
  </si>
  <si>
    <t>2. Начисление по нежилым помещениям</t>
  </si>
  <si>
    <t>Тех.обслуживание</t>
  </si>
  <si>
    <t>Вывоз мусора</t>
  </si>
  <si>
    <t>Всего:</t>
  </si>
  <si>
    <t>3.Начисление арендаторам за установку кабелей ТВ</t>
  </si>
  <si>
    <t>"Кристалл"</t>
  </si>
  <si>
    <t>34,98 руб.*12мес.</t>
  </si>
  <si>
    <t>"Вымпелком"</t>
  </si>
  <si>
    <t>137,50руб.*12мес.</t>
  </si>
  <si>
    <t>"ЭРТелеком"</t>
  </si>
  <si>
    <t>123,75руб.*12мес.</t>
  </si>
  <si>
    <t>"Уфанет"</t>
  </si>
  <si>
    <t>150,00руб.*12мес.</t>
  </si>
  <si>
    <t>"Скартел"</t>
  </si>
  <si>
    <t>"МТС"</t>
  </si>
  <si>
    <t>4.Начисление за рекламу(аренда)</t>
  </si>
  <si>
    <t xml:space="preserve"> </t>
  </si>
  <si>
    <t>Итого:</t>
  </si>
  <si>
    <t>Статьи расходов. Перечень работ, услуг</t>
  </si>
  <si>
    <t>Обоснование</t>
  </si>
  <si>
    <t>1.Санитарное содержание</t>
  </si>
  <si>
    <t>-уборка придомовой территории</t>
  </si>
  <si>
    <t>.-уборка лестничных клеток</t>
  </si>
  <si>
    <t>.-обслуживание мусоропровода</t>
  </si>
  <si>
    <t>.- вывоз КГМ</t>
  </si>
  <si>
    <t>-очистка вентканалов</t>
  </si>
  <si>
    <t>.-проверка дымоходов</t>
  </si>
  <si>
    <t>.-дератизация</t>
  </si>
  <si>
    <t>.-дезинсекция</t>
  </si>
  <si>
    <t>.-оценка соответствия лифта требованиям тех.регламента</t>
  </si>
  <si>
    <t>.-т/о и ППР ЗПУ</t>
  </si>
  <si>
    <t>0руб./мес.*12мес./1,18</t>
  </si>
  <si>
    <t>.-комплексное обслуживание лифтов</t>
  </si>
  <si>
    <t>4478,88руб./мес.*12 мес.*0 лифт</t>
  </si>
  <si>
    <t>.-мойка и дезинфекция мусоропровода</t>
  </si>
  <si>
    <t>53320/1,18</t>
  </si>
  <si>
    <t>.-вывоз мусора (население)САХ</t>
  </si>
  <si>
    <t>.-вывоз мусора (арендаторы)</t>
  </si>
  <si>
    <t>Всего по п.1:</t>
  </si>
  <si>
    <t>2.Техническая эксплуатация</t>
  </si>
  <si>
    <t>.-профосмотры:в т.ч.сезонные осмотры</t>
  </si>
  <si>
    <t>-очистка кровли от снега</t>
  </si>
  <si>
    <t>.-гидравлические испытания и промывка системы отопления</t>
  </si>
  <si>
    <t>-резерв на непредвиденные работы</t>
  </si>
  <si>
    <t>Всего по п.2:</t>
  </si>
  <si>
    <t>3.Текущий ремонт</t>
  </si>
  <si>
    <t>.-установка пластиковых окон</t>
  </si>
  <si>
    <t>.-смена светильников</t>
  </si>
  <si>
    <t xml:space="preserve">-замена эл.проводки </t>
  </si>
  <si>
    <t>-замена входных дверей</t>
  </si>
  <si>
    <t>-резерв и непредвиденные затраты</t>
  </si>
  <si>
    <t>Всего по п.3:</t>
  </si>
  <si>
    <t>4.Аварийно-ремонтная служба</t>
  </si>
  <si>
    <t>5.ОДС</t>
  </si>
  <si>
    <t>6. Общеэксплуатационные расходы</t>
  </si>
  <si>
    <t>Рентабельность, 3%</t>
  </si>
  <si>
    <t>Итого стоимость услуг с НДС:</t>
  </si>
  <si>
    <t>"Башинформсвязь"</t>
  </si>
  <si>
    <t>.-т/о приборов учета тепловой энергии</t>
  </si>
  <si>
    <t>1) Аскаров В.А. (103кв.м.)</t>
  </si>
  <si>
    <t>2) Петрова Р.А. (123,1кв.м.)</t>
  </si>
  <si>
    <t>4) ИП Иванова Н.М. (254,4кв.м.)</t>
  </si>
  <si>
    <t>1) НОУ "Башкирский экономико-юридический техникум" (350кв.м.)</t>
  </si>
  <si>
    <t>ЖЭУ-37  (с НДС)</t>
  </si>
  <si>
    <t>1) ООО Рекламное агентство "АР НУВО" (126,5кв.м.)</t>
  </si>
  <si>
    <t>2) ООО  Ломбард "Алмаз" (61,1кв.м.)</t>
  </si>
  <si>
    <t>1) ООО  "Новая Эра" (201,2кв.м.)</t>
  </si>
  <si>
    <t>2) ООО   "СПС" (170,1кв.м.)</t>
  </si>
  <si>
    <t>1) ООО ПКФ "Икар+" (59,6кв.м.)</t>
  </si>
  <si>
    <t>12000/1,18</t>
  </si>
  <si>
    <t>1) Каримова Ф.А. (42кв.м.)</t>
  </si>
  <si>
    <t>.-т/о узлов автоматического регулирования</t>
  </si>
  <si>
    <t>1) ООО "Салют-Торг" (1410,9кв.м.)</t>
  </si>
  <si>
    <t>2) ООО "Табиб" (75,7кв.м.)</t>
  </si>
  <si>
    <t>1) МБУ Централизованная система детских библиотек ГО г.Уфа РБ (330,2кв.м.)</t>
  </si>
  <si>
    <t>Дата исполнения</t>
  </si>
  <si>
    <t>1раз в месяц</t>
  </si>
  <si>
    <t>каждый день</t>
  </si>
  <si>
    <t>по графику</t>
  </si>
  <si>
    <t>2раза в год</t>
  </si>
  <si>
    <t>4раза в год</t>
  </si>
  <si>
    <t>в зимний период</t>
  </si>
  <si>
    <t>гидравлич.испытания - 1раз в год,   промывка - 1раз в 3 года</t>
  </si>
  <si>
    <t xml:space="preserve">Смета доходов  и расходов на содержание и текущий ремонт общедомового имущества дома №79 (с достроем), ул.Вологодская </t>
  </si>
  <si>
    <t xml:space="preserve">Смета доходов  и расходов на содержание и текущий ремонт общедомового имущества дома №81, ул.Вологодская </t>
  </si>
  <si>
    <t>1раз в год</t>
  </si>
  <si>
    <t xml:space="preserve">Смета доходов  и расходов на содержание и текущий ремонт общедомового имущества дома №81/2, ул.Вологодская </t>
  </si>
  <si>
    <t xml:space="preserve">Смета доходов  и расходов на содержание и текущий ремонт общедомового имущества дома №185, ул.Кольцевая </t>
  </si>
  <si>
    <t xml:space="preserve">Смета доходов  и расходов на содержание и текущий ремонт общедомового имущества дома №185/1, ул.Кольцевая </t>
  </si>
  <si>
    <t xml:space="preserve">Смета доходов  и расходов на содержание и текущий ремонт общедомового имущества дома №187, ул.Кольцевая </t>
  </si>
  <si>
    <t xml:space="preserve">Смета доходов  и расходов на содержание и текущий ремонт общедомового имущества дома №189, ул.Кольцевая </t>
  </si>
  <si>
    <t xml:space="preserve">Смета доходов  и расходов на содержание и текущий ремонт общедомового имущества дома №191, ул.Кольцевая </t>
  </si>
  <si>
    <t xml:space="preserve">Смета доходов  и расходов на содержание и текущий ремонт общедомового имущества дома №195, ул.Кольцевая </t>
  </si>
  <si>
    <t xml:space="preserve">Смета доходов  и расходов на содержание и текущий ремонт общедомового имущества дома №197, ул.Кольцевая </t>
  </si>
  <si>
    <t xml:space="preserve">Смета доходов  и расходов на содержание и текущий ремонт общедомового имущества дома №201/4, ул.Кольцевая </t>
  </si>
  <si>
    <t>Смета доходов  и расходов на содержание и текущий ремонт общедомового имущества дома №203/1, ул.Кольцевая</t>
  </si>
  <si>
    <t xml:space="preserve">Смета доходов  и расходов на содержание и текущий ремонт общедомового имущества дома №205, ул.Кольцевая </t>
  </si>
  <si>
    <t xml:space="preserve">Смета доходов  и расходов на содержание и текущий ремонт общедомового имущества дома №205/1, ул.Кольцевая </t>
  </si>
  <si>
    <t xml:space="preserve">Смета доходов  и расходов на содержание и текущий ремонт общедомового имущества дома №205/2, ул.Кольцевая </t>
  </si>
  <si>
    <t xml:space="preserve">Смета доходов  и расходов на содержание и текущий ремонт общедомового имущества дома №207, ул.Кольцевая </t>
  </si>
  <si>
    <t xml:space="preserve">Смета доходов  и расходов на содержание и текущий ремонт общедомового имущества дома №72, ул.Суворова </t>
  </si>
  <si>
    <t xml:space="preserve">Смета доходов  и расходов на содержание и текущий ремонт общедомового имущества дома №58, ул.Коммунаров </t>
  </si>
  <si>
    <t xml:space="preserve">Смета доходов  и расходов на содержание и текущий ремонт общедомового имущества дома №59, ул.Коммунаров </t>
  </si>
  <si>
    <t>Смета доходов  и расходов на содержание и текущий ремонт общедомового имущества дома №60, ул.Коммунаров</t>
  </si>
  <si>
    <t xml:space="preserve">Смета доходов  и расходов на содержание и текущий ремонт общедомового имущества дома №62, ул.Коммунаров </t>
  </si>
  <si>
    <t xml:space="preserve">Смета доходов  и расходов на содержание и текущий ремонт общедомового имущества дома №66, ул.Коммунаров </t>
  </si>
  <si>
    <t>Смета доходов  и расходов на содержание и текущий ремонт общедомового имущества дома №66/2 (с достроем), ул.Коммунаров</t>
  </si>
  <si>
    <t xml:space="preserve">Смета доходов  и расходов на содержание и текущий ремонт общедомового имущества дома №69/1, ул.Коммунаров </t>
  </si>
  <si>
    <t>Смета доходов  и расходов на содержание и текущий ремонт общедомового имущества дома №69/2, ул.Коммунаров</t>
  </si>
  <si>
    <t xml:space="preserve">Смета доходов  и расходов на содержание и текущий ремонт общедомового имущества дома №71/1, ул.Коммунаров </t>
  </si>
  <si>
    <t xml:space="preserve">Смета доходов  и расходов на содержание и текущий ремонт общедомового имущества дома №75, ул.Коммунаров </t>
  </si>
  <si>
    <t xml:space="preserve"> - набор работ (ремонт запорной арматуры, ремонт элеваторных узлов, замена эл.проводки, ремонт скамеек, садовых диванов, ограждений газонов; измерение сопротивления изоляции, поверка водомеров; ремонт и установка контейнеров, смена и ремонт радиаторов, канализационных труб, участков трубопроводов, смена вентелей, задвижек)</t>
  </si>
  <si>
    <t>7. Услуги по начислению и сбору платежей и управлению домом</t>
  </si>
  <si>
    <t>Всего по п.4-7:</t>
  </si>
  <si>
    <t>Экономически обоснованный тариф по затратам на "Содержание"</t>
  </si>
  <si>
    <t>В расходной части сметы не учтены затраты на текущий ремонт МКД</t>
  </si>
  <si>
    <t>Итого стоимость услуг/(2862,9+684,6)кв.м./12мес.</t>
  </si>
  <si>
    <t>4190руб.*4лифта</t>
  </si>
  <si>
    <t>4190руб.*2лифта</t>
  </si>
  <si>
    <t>Итого стоимость услуг/(3823,2+0)кв.м./12мес.</t>
  </si>
  <si>
    <t>Итого стоимость услуг/(8521,9+0)кв.м./12мес.</t>
  </si>
  <si>
    <t>4190руб.*3лифта</t>
  </si>
  <si>
    <t>Итого стоимость услуг/(385,2+0)кв.м./12мес.</t>
  </si>
  <si>
    <t>тариф</t>
  </si>
  <si>
    <t>без</t>
  </si>
  <si>
    <t>Общая площадь</t>
  </si>
  <si>
    <t>Кол-во кв-р</t>
  </si>
  <si>
    <t>Кол-во пользующихся ЖКУ</t>
  </si>
  <si>
    <t>Объем</t>
  </si>
  <si>
    <t>Площадь подвала</t>
  </si>
  <si>
    <t>Площадь кровли</t>
  </si>
  <si>
    <t>Кол-во лифтов</t>
  </si>
  <si>
    <t>Кол-во мусоропроводов</t>
  </si>
  <si>
    <t>Площадь асфальта</t>
  </si>
  <si>
    <t>Площадь газона</t>
  </si>
  <si>
    <t>Кол-во дымоходов</t>
  </si>
  <si>
    <t>Непредвид.ремонт</t>
  </si>
  <si>
    <t>Профобходы</t>
  </si>
  <si>
    <t>Дворников</t>
  </si>
  <si>
    <t>Мусоропроводчиков</t>
  </si>
  <si>
    <t>Уб. л/кл</t>
  </si>
  <si>
    <t>САХ объем</t>
  </si>
  <si>
    <t>этажей</t>
  </si>
  <si>
    <t>л/кл</t>
  </si>
  <si>
    <t>дератиз</t>
  </si>
  <si>
    <t>1032+1*10</t>
  </si>
  <si>
    <t>0,25 руб./мес.*(1032+1*10)в.м.*12 мес.</t>
  </si>
  <si>
    <t>2,34руб./мес.*(1032+1*10)кв.м.*4 раза</t>
  </si>
  <si>
    <t>без уборки</t>
  </si>
  <si>
    <t>.-обслуживание экобоксов</t>
  </si>
  <si>
    <t>1 раз в год</t>
  </si>
  <si>
    <t>Итого стоимость услуг/(820+218,7)кв.м./12мес.</t>
  </si>
  <si>
    <t>0,25 руб./мес.*820в.м.*12 мес.</t>
  </si>
  <si>
    <t>2,34руб./мес.*820кв.м.*4 раза</t>
  </si>
  <si>
    <t xml:space="preserve">Смета доходов  и расходов на содержание и текущий ремонт общедомового имущества дома №59/1, ул.Коммунаров </t>
  </si>
  <si>
    <t>0,25 руб./мес.*877,2в.м.*12 мес.</t>
  </si>
  <si>
    <t>2,34руб./мес.*877,2кв.м.*4 раза</t>
  </si>
  <si>
    <t>Итого стоимость услуг/(3589,1+0)кв.м./12мес.</t>
  </si>
  <si>
    <t>с</t>
  </si>
  <si>
    <t>1300+4*10</t>
  </si>
  <si>
    <t>0,25 руб./мес.*(1300+4*10)в.м.*12 мес.</t>
  </si>
  <si>
    <t>2,34руб./мес.*(1300+4*10)кв.м.*4 раза</t>
  </si>
  <si>
    <t>0,25 руб./мес.*385,2в.м.*12 мес.</t>
  </si>
  <si>
    <t>2,34руб./мес.*385,2кв.м.*4 раза</t>
  </si>
  <si>
    <t>1803,2+7*10</t>
  </si>
  <si>
    <t>2) ООО "ОЖХ Орджоникидзевского района г.Уфы" (24,1кв.м.)</t>
  </si>
  <si>
    <t>2,34руб./мес.*(1803,2+7*10)кв.м.*4 раза</t>
  </si>
  <si>
    <t>1074+1*10</t>
  </si>
  <si>
    <t>0,25 руб./мес.*(1074+1*10)в.м.*12 мес.</t>
  </si>
  <si>
    <t>2,34руб./мес.*(1074+1*10)кв.м.*4 раза</t>
  </si>
  <si>
    <t>1343,2+4*10</t>
  </si>
  <si>
    <t>2,34руб./мес.*(1343,2+4*10)кв.м.*4 раза</t>
  </si>
  <si>
    <t>1143+2*10</t>
  </si>
  <si>
    <t>0,25 руб./мес.*(1143+2*10)в.м.*12 мес.</t>
  </si>
  <si>
    <t>2,34руб./мес.*(1143+2*10)кв.м.*4 раза</t>
  </si>
  <si>
    <t xml:space="preserve">Смета доходов  и расходов на содержание и текущий ремонт общедомового имущества дома №69, ул.Коммунаров </t>
  </si>
  <si>
    <t>Директор ОАО" УЖХ</t>
  </si>
  <si>
    <t>0,25руб./мес.*(1343,2+4*10)кв.м.*12 мес.</t>
  </si>
  <si>
    <t>Итого стоимость услуг/(10983,3+0)кв.м./12мес.</t>
  </si>
  <si>
    <t>Начальник ПЭО                                                            А.М. Андреев</t>
  </si>
  <si>
    <t>Орджоникидзевского района г.Уфы"</t>
  </si>
  <si>
    <t>.-обслуживание узлов автоматического регулирования</t>
  </si>
  <si>
    <t>л,м,у</t>
  </si>
  <si>
    <t>бл,м,у</t>
  </si>
  <si>
    <t>742,5+2*10</t>
  </si>
  <si>
    <t>3) Местная религиозная организация Церковь евангельских христиан-баптистов г.Уфы "Благая Весть" (204,1кв.м.)</t>
  </si>
  <si>
    <t>0,25руб./мес.*(742,5+2*10)в.м.*12 мес.</t>
  </si>
  <si>
    <t>2,34руб./мес.*(742,5+2*10)кв.м.*4 раза</t>
  </si>
  <si>
    <t>0руб/мес.*12мес.</t>
  </si>
  <si>
    <t>0,25 руб./мес.*(1803,2+7*10)кв.м.*12 мес.</t>
  </si>
  <si>
    <t>Итого стоимость услуг/(14614,1+374,1)кв.м./12мес.</t>
  </si>
  <si>
    <t>0,25 руб./мес.*864,8в.м.*12 мес.</t>
  </si>
  <si>
    <t>2,34руб./мес.*864,8кв.м.*4 раза</t>
  </si>
  <si>
    <t>Итого стоимость услуг/(864,8+187,6)кв.м./12мес.</t>
  </si>
  <si>
    <t>лму</t>
  </si>
  <si>
    <t>Итого стоимость услуг/(834,2+371,3)кв.м./12мес.</t>
  </si>
  <si>
    <t>2) ООО "Ремстрой" (159,1кв.м.)</t>
  </si>
  <si>
    <t>142,09руб./мес.*12мес.</t>
  </si>
  <si>
    <t>Итого стоимость услуг/(8011,8+0)кв.м./12мес.</t>
  </si>
  <si>
    <t>3) Управление МВД РФ по городу Уфе (27,9кв.м.)</t>
  </si>
  <si>
    <t>.  оценка соответствия лифта требованиям технического регламента</t>
  </si>
  <si>
    <t>3589,1кв.м.*13,61руб.*12мес.</t>
  </si>
  <si>
    <t>878,10руб./мес.*12мес.</t>
  </si>
  <si>
    <t>2) ООО "Аптека "Анис" (43,4кв.м.)</t>
  </si>
  <si>
    <t>8521,9кв.м.*20,75руб.*12мес.</t>
  </si>
  <si>
    <t>3) Латинник С.В. (149,1кв.м.)</t>
  </si>
  <si>
    <t>164,37руб./мес.*12мес.</t>
  </si>
  <si>
    <t>И.о. директора ООО" ОЖХ</t>
  </si>
  <si>
    <t>____________________А.С. Шагаргазин</t>
  </si>
  <si>
    <t>План работ на 2018г., согласно Постановлению Правительства РФ от 23 сентября 2010г. №731 п.11 пп.б</t>
  </si>
  <si>
    <t>0куб.м.*(232,80руб.*1,18*6мес.+243,11руб.*1,18*6мес.)</t>
  </si>
  <si>
    <t>0дым.*(49,72 руб.*2 раза с год+51,71руб.*2 раза в год)</t>
  </si>
  <si>
    <t>700,55руб./мес.*6 мес.+728,57руб./мес.*6мес.</t>
  </si>
  <si>
    <t>695,13руб./мес.*6 мес.+722,94руб./мес.*6мес.</t>
  </si>
  <si>
    <t>0куб.м.*(232,80руб.*6мес.+243,11руб.*6мес.)</t>
  </si>
  <si>
    <t>Прямые расходы*0,341*</t>
  </si>
  <si>
    <t>(Прямые расходы+Общеэксплуатационные расходы)*0,132**</t>
  </si>
  <si>
    <t xml:space="preserve">* 0,341-коэффициент соотношения по Орджоникидзевскому району на 2018 год общеэксплуатационных расходов к прямым, исходя из фактических данных 2017 года. </t>
  </si>
  <si>
    <t xml:space="preserve">** 0,132-коэффициент соотношения по Орджоникидзевскому району на 2018 год услуг по управлению и начислению платежей, исходя из фактических данных 2017 года. </t>
  </si>
  <si>
    <t>(5338,98руб./мес.*1мес.)+(3813,56руб./мес.*11мес.)*2 лифта</t>
  </si>
  <si>
    <t>Итого стоимость услуг/(3816,2+0)кв.м./12мес.</t>
  </si>
  <si>
    <t>Итого стоимость услуг/(3549,4+0)кв.м./12мес.</t>
  </si>
  <si>
    <t>80вент.*(16,86 руб.+17,53 руб.)</t>
  </si>
  <si>
    <t>13,69руб./кв.м.*1130кв.м.</t>
  </si>
  <si>
    <t>8011,8кв.м.*23,14руб.*12мес.</t>
  </si>
  <si>
    <r>
      <t xml:space="preserve">604чел.*(211,42руб./куб.м.в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</si>
  <si>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 xml:space="preserve">((1,22чел.*(3565руб.+200руб.)*1,5*1,15*1,083*1,302*3мес.)+(3708руб.+200руб.)*1,5*1,15*1,083*1,302*9мес.))+0,100руб./кв.м.асф.покр.*2581кв.м.)*12 мес. </t>
  </si>
  <si>
    <t>(1,44чел*9538,51руб./чел.*3мес.)+(1,44чел*9921,13руб./чел.*9мес.)+(207квартир* 11,48767руб/кв*12 мес.)</t>
  </si>
  <si>
    <t>604чел.*(360,84руб./куб.м.*0,025куб.м.*3мес.+362,52руб/куб.м.*0,025куб.м.*3мес.+382,25руб./куб.м.*0,025куб.м.*6мес.)</t>
  </si>
  <si>
    <t>207вент.*(16,86 руб.+17,53 руб.)</t>
  </si>
  <si>
    <t>604чел.*(211,42руб./куб.м.в мес.*6мес.*1,45куб.м./12+226,93руб./куб.м.в мес.*6мес.*1,45куб.м./12)</t>
  </si>
  <si>
    <t xml:space="preserve">(16,28ч/час*(96,4189руб./час.*3мес.)+(16,28ч/час*100,2864руб./час*9 мес.)+(1,78руб./м.кв.*(8011,8+0)кв.м.*12мес.) </t>
  </si>
  <si>
    <t>13,69руб./кв.м.*1411,8кв.м.</t>
  </si>
  <si>
    <t>17,51руб.*(8011,8+0)кв.м.</t>
  </si>
  <si>
    <t xml:space="preserve">(632,04руб./куб.м.+251,07/руб./куб.м./3)*33616куб.м./1000    </t>
  </si>
  <si>
    <t xml:space="preserve">(1186,36ч/час/12*3*96,4189руб./час.+(1186,36/12*9*100,2864руб./час)+(1186,36ч/час/12*3*96,4189руб./час.+(1186,36/12*9*100,2864руб./час)/1,302*25% </t>
  </si>
  <si>
    <t>3,05руб./кв.м.*(8011,8+0)кв.м.</t>
  </si>
  <si>
    <t>(1564,2кв.м.*18,72руб.*12мес.)+(1386,7кв.м.*28,03руб.*12мес.)</t>
  </si>
  <si>
    <r>
      <t xml:space="preserve">238чел.*(211,42руб./куб.м.в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</si>
  <si>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204,1кв.м.*18,72руб.*12мес.</t>
  </si>
  <si>
    <t>3,58куб.м.*(232,80руб.*1,18*6мес.+243,11руб.*1,18*6мес.)</t>
  </si>
  <si>
    <t>254,4кв.м.*18,72руб.*12мес.</t>
  </si>
  <si>
    <t>0,17куб.м.*(232,80руб.*1,18*6мес.+243,11руб.*1,18*6мес.)</t>
  </si>
  <si>
    <t>103кв.м.*18,72руб.*12мес.</t>
  </si>
  <si>
    <t>123,1кв.м.*18,72руб.*12мес.</t>
  </si>
  <si>
    <t>1,17куб.м.*(232,80руб.*1,18*6мес.+243,11руб.*1,18*6мес.)</t>
  </si>
  <si>
    <t xml:space="preserve">((0,63чел.*(3565руб.+200руб.)*1,5*1,15*1,083*1,302*3мес.)+(3708руб.+200руб.)*1,5*1,15*1,083*1,302*9мес.))+0,100руб./кв.м.асф.покр.*1609кв.м.)*12 мес. </t>
  </si>
  <si>
    <t>(1,39чел*9538,51руб./чел.*3мес.)+(1,39чел*9921,13руб./чел.*9мес.)</t>
  </si>
  <si>
    <t>(0,82чел*9538,51руб./чел.*3мес.)+(0,82чел*9921,13руб./чел.*9мес.)+(118квартир* 11,48767руб/кв*12 мес.)</t>
  </si>
  <si>
    <t>238чел.*(360,84руб./куб.м.*0,025куб.м.*3мес.+362,52руб/куб.м.*0,025куб.м.*3мес.+382,25руб./куб.м.*0,025куб.м.*6мес.)</t>
  </si>
  <si>
    <t>0вент.*(16,86 руб.+17,53 руб.)</t>
  </si>
  <si>
    <t>238чел.*(211,42руб./куб.м.в мес.*6мес.*1,45куб.м./12+226,93руб./куб.м.в мес.*6мес.*1,45куб.м./12)</t>
  </si>
  <si>
    <t>4,92куб.м.*(232,80руб.*6мес.+243,11руб.*6мес.)</t>
  </si>
  <si>
    <t xml:space="preserve">(11,28ч/час*(96,4189руб./час.*3мес.)+(11,28ч/час*100,2864руб./час*9 мес.)+(1,78руб./м.кв.*(2950,9+684,6)кв.м.*12мес.) </t>
  </si>
  <si>
    <t>13,69руб./кв.м.*742,5кв.м.</t>
  </si>
  <si>
    <t>17,51руб.*(2950,9+684,6)кв.м.</t>
  </si>
  <si>
    <t xml:space="preserve">(632,04руб./куб.м.+251,07/руб./куб.м./3)*19710куб.м./1000    </t>
  </si>
  <si>
    <t xml:space="preserve">(686,13ч/час/12*3*96,4189руб./час.+(686,13/12*9*100,2864руб./час)+(686,13ч/час/12*3*96,4189руб./час.+(686,13/12*9*100,2864руб./час)/1,302*25% </t>
  </si>
  <si>
    <t>3,05 руб./кв.м.*(2950,9+684,6)кв.м.</t>
  </si>
  <si>
    <t>14614,1кв.м.*24,77руб.*12мес.</t>
  </si>
  <si>
    <r>
      <t xml:space="preserve">781чел.*(211,42руб./куб.м.в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</si>
  <si>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24,1кв.м.*23,00руб.*12мес.</t>
  </si>
  <si>
    <t>350кв.м.*23,00руб.*12мес.</t>
  </si>
  <si>
    <t xml:space="preserve">((1,96чел.*(3565руб.+200руб.)*1,5*1,15*1,083*1,302*3мес.)+(3708руб.+200руб.)*1,5*1,15*1,083*1,302*9мес.))+0,100руб./кв.м.асф.покр.*4035,6кв.м.)*12 мес. </t>
  </si>
  <si>
    <t>(2,48чел*9538,51руб./чел.*3мес.)+(2,48чел*9921,13руб./чел.*9мес.)</t>
  </si>
  <si>
    <t>(1,75чел*9538,51руб./чел.*3мес.)+(1,75чел*9921,13руб./чел.*9мес.)+(252квартир* 11,48767руб/кв*12 мес.)</t>
  </si>
  <si>
    <t>781чел.*(360,84руб./куб.м.*0,025куб.м.*3мес.+362,52руб/куб.м.*0,025куб.м.*3мес.+382,25руб./куб.м.*0,025куб.м.*6мес.)</t>
  </si>
  <si>
    <t>252вент.*(16,86 руб.+17,53 руб.)</t>
  </si>
  <si>
    <t>(5338,98руб./мес.*1мес.)+(3813,56руб./мес.*11мес.)*7 лифтов</t>
  </si>
  <si>
    <t>781чел.*(211,42руб./куб.м.в мес.*6мес.*1,45куб.м./12+226,93руб./куб.м.в мес.*6мес.*1,45куб.м./12)</t>
  </si>
  <si>
    <t xml:space="preserve">(32,68ч/час*(96,4189руб./час.*3мес.)+(32,68ч/час*100,2864руб./час*9 мес.)+(1,78руб./м.кв.*(14614,1+374,1)кв.м.*12мес.) </t>
  </si>
  <si>
    <t>13,69руб./кв.м.*2356кв.м.</t>
  </si>
  <si>
    <t>17,51руб.*(14614,1+374,1)кв.м.</t>
  </si>
  <si>
    <t xml:space="preserve">(632,04руб./куб.м.+251,07/руб./куб.м./3)*69156куб.м./1000    </t>
  </si>
  <si>
    <t xml:space="preserve">(1636,61ч/час/12*3*96,4189руб./час.+(1636,61/12*9*100,2864руб./час)+(1636,61ч/час/12*3*96,4189руб./час.+(1636,61/12*9*100,2864руб./час)/1,302*25% </t>
  </si>
  <si>
    <t>3,05руб./кв.м.*(14614,1+374,1)кв.м.</t>
  </si>
  <si>
    <t>864,8кв.м.*15,70руб.*12мес.</t>
  </si>
  <si>
    <r>
      <t xml:space="preserve">71чел.*(211,42руб./куб.м.в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</si>
  <si>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126,5кв.м.*15,70руб.*12мес.</t>
  </si>
  <si>
    <t>1,47куб.м.*(232,80руб.*1,18*6мес.+243,11руб.*1,18*6мес.)</t>
  </si>
  <si>
    <t>61,1кв.м.*15,70руб.*12мес.</t>
  </si>
  <si>
    <t xml:space="preserve">((0,68чел.*(3565руб.+200руб.)*1,5*1,15*1,083*1,302*3мес.)+(3708руб.+200руб.)*1,5*1,15*1,083*1,302*9мес.))+0,100руб./кв.м.асф.покр.*1433,5кв.м.)*12 мес. </t>
  </si>
  <si>
    <t>71чел.*(360,84руб./куб.м.*0,025куб.м.*3мес.+362,52руб/куб.м.*0,025куб.м.*3мес.+382,25руб./куб.м.*0,025куб.м.*6мес.)</t>
  </si>
  <si>
    <t>14вент.*(16,86 руб.+17,53 руб.)</t>
  </si>
  <si>
    <t>71чел.*(211,42руб./куб.м.в мес.*6мес.*1,45куб.м./12+226,93руб./куб.м.в мес.*6мес.*1,45куб.м./12)</t>
  </si>
  <si>
    <t>1,47куб.м.*(232,80руб.*6мес.+243,11руб.*6мес.)</t>
  </si>
  <si>
    <t xml:space="preserve">(7,98ч/час*(96,4189руб./час.*3мес.)+(7,98ч/час*100,2864руб./час*9 мес.)+(1,78руб./м.кв.*(864,8+187,6)кв.м.*12мес.) </t>
  </si>
  <si>
    <t>13,69руб./кв.м.*1000кв.м.</t>
  </si>
  <si>
    <t>17,51руб.*(864,8+187,6)кв.м.</t>
  </si>
  <si>
    <t xml:space="preserve">(632,04руб./куб.м.+251,07/руб./куб.м./3)*4904куб.м./1000    </t>
  </si>
  <si>
    <t xml:space="preserve">(94,77ч/час/12*3*96,4189руб./час.+(94,77/12*9*100,2864руб./час)+(94,77ч/час/12*3*96,4189руб./час.+(94,77/12*9*100,2864руб./час)/1,302*25% </t>
  </si>
  <si>
    <t>3,05 руб./кв.м.*(864,8+187,6)кв.м.</t>
  </si>
  <si>
    <t>7983,9кв.м.*24,77руб.*12мес.</t>
  </si>
  <si>
    <r>
      <t xml:space="preserve">459чел.*(211,42руб./куб.м.в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</si>
  <si>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1) Муницип. бюдж. учреждение здравоохранения Детская п-ка №8 ГО г.Уфа РБ" (983,1кв.м.)</t>
  </si>
  <si>
    <t>983,1кв.м.*23,00руб.*12мес.</t>
  </si>
  <si>
    <t xml:space="preserve">((1,06чел.*(3565руб.+200руб.)*1,5*1,15*1,083*1,302*3мес.)+(3708руб.+200руб.)*1,5*1,15*1,083*1,302*9мес.))+0,100руб./кв.м.асф.покр.*2773,6кв.м.)*12 мес. </t>
  </si>
  <si>
    <t>(1,21чел*9538,51руб./чел.*3мес.)+(1,21чел*9921,13руб./чел.*9мес.)</t>
  </si>
  <si>
    <t>(1,00чел*9538,51руб./чел.*3мес.)+(1,00чел*9921,13руб./чел.*9мес.)+(144квартир* 11,48767руб/кв*12 мес.)</t>
  </si>
  <si>
    <t>459чел.*(360,84руб./куб.м.*0,025куб.м.*3мес.+362,52руб/куб.м.*0,025куб.м.*3мес.+382,25руб./куб.м.*0,025куб.м.*6мес.)</t>
  </si>
  <si>
    <t>144вент.*(16,86 руб.+17,53 руб.)</t>
  </si>
  <si>
    <t>(5338,98руб./мес.*1мес.)+(3813,56руб./мес.*11мес.)*4 лифта</t>
  </si>
  <si>
    <t>459чел.*(211,42руб./куб.м.в мес.*6мес.*1,45куб.м./12+226,93руб./куб.м.в мес.*6мес.*1,45куб.м./12)</t>
  </si>
  <si>
    <t xml:space="preserve">(22,69ч/час*(96,4189руб./час.*3мес.)+(22,69ч/час*100,2864руб./час*9 мес.)+(1,78руб./м.кв.*(7983,9+983,1)кв.м.*12мес.) </t>
  </si>
  <si>
    <t>13,69руб./кв.м.*1639,8кв.м.</t>
  </si>
  <si>
    <t>Итого стоимость услуг/(7983,9+983,1)кв.м./12мес.</t>
  </si>
  <si>
    <t>17,51руб.*(7983,9+983,1)кв.м.</t>
  </si>
  <si>
    <t xml:space="preserve">(632,04руб./куб.м.+251,07/руб./куб.м./3)*42663куб.м./1000    </t>
  </si>
  <si>
    <t xml:space="preserve">(954,13ч/час/12*3*96,4189руб./час.+(954,13/12*9*100,2864руб./час)+(954,13ч/час/12*3*96,4189руб./час.+(954,13/12*9*100,2864руб./час)/1,302*25% </t>
  </si>
  <si>
    <t>3,05руб./кв.м.*(7983,9+983,1)кв.м.</t>
  </si>
  <si>
    <t>834,2кв.м.*15,70руб.*12мес.</t>
  </si>
  <si>
    <r>
      <t xml:space="preserve">60чел.*(211,42руб./куб.м.в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</si>
  <si>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170,1кв.м.*15,70руб.*12мес.</t>
  </si>
  <si>
    <t>201,2кв.м.*15,70руб.*12мес.</t>
  </si>
  <si>
    <t xml:space="preserve">((0,61чел.*(3565руб.+200руб.)*1,5*1,15*1,083*1,302*3мес.)+(3708руб.+200руб.)*1,5*1,15*1,083*1,302*9мес.))+0,100руб./кв.м.асф.покр.*1122кв.м.)*12 мес. </t>
  </si>
  <si>
    <t>60чел.*(360,84руб./куб.м.*0,025куб.м.*3мес.+362,52руб/куб.м.*0,025куб.м.*3мес.+382,25руб./куб.м.*0,025куб.м.*6мес.)</t>
  </si>
  <si>
    <t>0,25 руб./мес.*834,2в.м.*12 мес.</t>
  </si>
  <si>
    <t>2,34руб./мес.*834,2кв.м.*4 раза</t>
  </si>
  <si>
    <t>60чел.*(211,42руб./куб.м.в мес.*6мес.*1,45куб.м./12+226,93руб./куб.м.в мес.*6мес.*1,45куб.м./12)</t>
  </si>
  <si>
    <t>0,17куб.м.*(232,80руб.*6мес.+243,11руб.*6мес.)</t>
  </si>
  <si>
    <t xml:space="preserve">(6,49ч/час*(96,4189руб./час.*3мес.)+(6,49ч/час*100,2864руб./час*9 мес.)+(1,78руб./м.кв.*(834,2+371,30)кв.м.*12мес.) </t>
  </si>
  <si>
    <t>13,69руб./кв.м.*992,3кв.м.</t>
  </si>
  <si>
    <t>17,51руб.*(834,2+371,3)кв.м.</t>
  </si>
  <si>
    <t xml:space="preserve">(632,04руб./куб.м.+251,07/руб./куб.м./3)*5164куб.м./1000    </t>
  </si>
  <si>
    <t xml:space="preserve">(98,45ч/час/12*3*96,4189руб./час.+(98,45/12*9*100,2864руб./час)+(98,45ч/час/12*3*96,4189руб./час.+(98,45/12*9*100,2864руб./час)/1,302*25% </t>
  </si>
  <si>
    <t>3,05 руб./кв.м.*(834,2+371,3)кв.м.</t>
  </si>
  <si>
    <t>820кв.м.*15,70руб.*12мес.</t>
  </si>
  <si>
    <r>
      <t xml:space="preserve">80чел.*(211,42руб./куб.м.в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</si>
  <si>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>159,1кв.м.*15,70руб.*12мес.</t>
  </si>
  <si>
    <t>3,24куб.м.*(232,80руб.*1,18*6мес.+243,11руб.*1,18*6мес.)</t>
  </si>
  <si>
    <t>59,6кв.м.*15,70руб.*12мес.</t>
  </si>
  <si>
    <t xml:space="preserve">((0,49чел.*(3565руб.+200руб.)*1,5*1,15*1,083*1,302*3мес.)+(3708руб.+200руб.)*1,5*1,15*1,083*1,302*9мес.))+0,100руб./кв.м.асф.покр.*1061,7кв.м.)*12 мес. </t>
  </si>
  <si>
    <t>80чел.*(360,84руб./куб.м.*0,025куб.м.*3мес.+362,52руб/куб.м.*0,025куб.м.*3мес.+382,25руб./куб.м.*0,025куб.м.*6мес.)</t>
  </si>
  <si>
    <t>80чел.*(211,42руб./куб.м.в мес.*6мес.*1,45куб.м./12+226,93руб./куб.м.в мес.*6мес.*1,45куб.м./12)</t>
  </si>
  <si>
    <t>3,24куб.м.*(232,80руб.*6мес.+243,11руб.*6мес.)</t>
  </si>
  <si>
    <t xml:space="preserve">(6,46ч/час*(96,4189руб./час.*3мес.)+(6,46ч/час*100,2864руб./час*9 мес.)+(1,78руб./м.кв.*(820+218,7)кв.м.*12мес.) </t>
  </si>
  <si>
    <t>13,69руб./кв.м.*1024кв.м.</t>
  </si>
  <si>
    <t>17,51руб.*(820+218,7)кв.м.</t>
  </si>
  <si>
    <t xml:space="preserve">(632,04руб./куб.м.+251,07/руб./куб.м./3)*7269куб.м./1000    </t>
  </si>
  <si>
    <t xml:space="preserve">(93,88ч/час/12*3*96,4189руб./час.+(93,88/12*9*100,2864руб./час)+(93,88ч/час/12*3*96,4189руб./час.+(93,88/12*9*100,2864руб./час)/1,302*25% </t>
  </si>
  <si>
    <t>3,05 руб./кв.м.*(820+218,7)кв.м.</t>
  </si>
  <si>
    <t>Прямые расходы*0,341,*</t>
  </si>
  <si>
    <t>7514,55кв.м.*22,06руб.*12мес.</t>
  </si>
  <si>
    <r>
      <t xml:space="preserve">581чел.*(211,42руб./куб.м.в мес.*6мес.*1куб.м./12+226,93руб./куб.м.в мес.*6мес.*1куб.м./12)*1,18  </t>
    </r>
    <r>
      <rPr>
        <b/>
        <sz val="10"/>
        <rFont val="Times New Roman"/>
        <family val="1"/>
        <charset val="204"/>
      </rPr>
      <t xml:space="preserve"> </t>
    </r>
  </si>
  <si>
    <t>42кв.м.*20,34руб.*12мес.</t>
  </si>
  <si>
    <t>0,59куб.м.*(232,80руб.*1,18*6мес.+243,11руб.*1,18*6мес.)</t>
  </si>
  <si>
    <t>2) МБУ "Центр общественной безопасности" ГО г.Уфа РБ (15,9кв.м.)</t>
  </si>
  <si>
    <t>15,9кв.м.*20,34руб.*12мес.</t>
  </si>
  <si>
    <t>27,9кв.м.*20,34руб.*12мес.</t>
  </si>
  <si>
    <t>0,07куб.м.*(232,80руб.*1,18*6мес.+243,11руб.*1,18*6мес.)</t>
  </si>
  <si>
    <t xml:space="preserve">((1,08чел.*(3565руб.+200руб.)*1,5*1,15*1,083*1,302*3мес.)+(3708руб.+200руб.)*1,5*1,15*1,083*1,302*9мес.))+0,100руб./кв.м.асф.покр.*1565,7кв.м.)*12 мес. </t>
  </si>
  <si>
    <t>(1,29чел*9538,51руб./чел.*3мес.)+(1,29чел*9921,13руб./чел.*9мес.)+(186квартир* 11,48767руб/кв*12 мес.)</t>
  </si>
  <si>
    <t>581чел.*(360,84руб./куб.м.*0,025куб.м.*3мес.+362,52руб/куб.м.*0,025куб.м.*3мес.+382,25руб./куб.м.*0,025куб.м.*6мес.)</t>
  </si>
  <si>
    <t>186вент.*(16,86 руб.+17,53 руб.)</t>
  </si>
  <si>
    <t>581чел.*(211,42руб./куб.м.в мес.*6мес.*1куб.м./12+226,93руб./куб.м.в мес.*6мес.*1куб.м./12)</t>
  </si>
  <si>
    <t>0,66куб.м.*(232,80руб.*6мес.+243,11руб.*6мес.)</t>
  </si>
  <si>
    <t xml:space="preserve">(15,78ч/час*(96,4189руб./час.*3мес.)+(15,78ч/час*100,2864руб./час*9 мес.)+(1,78руб./м.кв.*(7514,55+85,8)кв.м.*12мес.) </t>
  </si>
  <si>
    <t>13,69руб./кв.м.*1228кв.м.</t>
  </si>
  <si>
    <t>Итого стоимость услуг/(7514,55+85,8)кв.м./12мес.</t>
  </si>
  <si>
    <t>17,51руб.*(7514,55+85,8)кв.м.</t>
  </si>
  <si>
    <t xml:space="preserve">(632,04руб./куб.м.+251,07/руб./куб.м./3)*30338куб.м./1000    </t>
  </si>
  <si>
    <t xml:space="preserve">(1091,41ч/час/12*3*96,4189руб./час.+(1091,41/12*9*100,2864руб./час)+(1091,41ч/час/12*3*96,4189руб./час.+(1091,41/12*9*100,2864руб./час)/1,302*25% </t>
  </si>
  <si>
    <t>3,05 руб./кв.м.*(7514,55+85,8)кв.м.</t>
  </si>
  <si>
    <t>3826,4кв.м.*23,39руб./кв.м.*12мес.</t>
  </si>
  <si>
    <t>Итого стоимость услуг/(3826,4+0)кв.м./12мес.</t>
  </si>
  <si>
    <t>Итого стоимость услуг/(4343,4+0)кв.м./12мес.</t>
  </si>
  <si>
    <t>Итого стоимость услуг/(5724,4+0)кв.м./12мес.</t>
  </si>
  <si>
    <t>Итого стоимость услуг/(4357,8+0)кв.м./12мес.</t>
  </si>
  <si>
    <t>10983,3кв.м.*23,28руб.*12мес.</t>
  </si>
  <si>
    <r>
      <t xml:space="preserve">638чел.*(211,42руб./куб.м.в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</si>
  <si>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 xml:space="preserve">((1,21чел.*(3565руб.+200руб.)*1,5*1,15*1,083*1,302*3мес.)+(3708руб.+200руб.)*1,5*1,15*1,083*1,302*9мес.))+0,100руб./кв.м.асф.покр.*1410,7кв.м.)*12 мес. </t>
  </si>
  <si>
    <t>(1,3чел*9538,51руб./чел.*3мес.)+(1,3чел*9921,13руб./чел.*9мес.)</t>
  </si>
  <si>
    <t>(1,51чел*9538,51руб./чел.*3мес.)+(1,51чел*9921,13руб./чел.*9мес.)+(217квартир* 11,48767руб/кв*12 мес.)</t>
  </si>
  <si>
    <t>638чел.*(360,84руб./куб.м.*0,025куб.м.*3мес.+362,52руб/куб.м.*0,025куб.м.*3мес.+382,25руб./куб.м.*0,025куб.м.*6мес.)</t>
  </si>
  <si>
    <t>217вент.*(16,86 руб.+17,53 руб.)</t>
  </si>
  <si>
    <t>638чел.*(211,42руб./куб.м.в мес.*6мес.*1,45куб.м./12+226,93руб./куб.м.в мес.*6мес.*1,45куб.м./12)</t>
  </si>
  <si>
    <t xml:space="preserve">(18,43ч/час*(96,4189руб./час.*3мес.)+(18,43ч/час*100,2864руб./час*9 мес.)+(1,78руб./м.кв.*(10983,3+0)кв.м.*12мес.) </t>
  </si>
  <si>
    <t>13,69руб./кв.м.*735кв.м.</t>
  </si>
  <si>
    <t>17,51руб.*(10983,3+0)кв.м.</t>
  </si>
  <si>
    <t xml:space="preserve">(632,04руб./куб.м.+251,07/руб./куб.м./3)*43216куб.м./1000    </t>
  </si>
  <si>
    <t xml:space="preserve">(1320,88ч/час/12*3*96,4189руб./час.+(1320,88/12*9*100,2864руб./час)+(1320,88ч/час/12*3*96,4189руб./час.+(1320,88/12*9*100,2864руб./час)/1,302*25% </t>
  </si>
  <si>
    <t>3,05 руб./кв.м.*(10983,3+0)кв.м.</t>
  </si>
  <si>
    <t>1,49руб./кв.м*(10983,3+0)кв.м.</t>
  </si>
  <si>
    <t>Итого стоимость услуг/(2585,4+99,5)кв.м./12мес.</t>
  </si>
  <si>
    <t>Итого стоимость услуг/(2866,9+1486,6)кв.м./12мес.</t>
  </si>
  <si>
    <r>
      <t xml:space="preserve">210чел.*(211,42руб./куб.м.в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</si>
  <si>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 xml:space="preserve">((0,93чел.*(3565руб.+200руб.)*1,5*1,15*1,083*1,302*3мес.)+(3708руб.+200руб.)*1,5*1,15*1,083*1,302*9мес.))+0,100руб./кв.м.асф.покр.*1361,2кв.м.)*12 мес. </t>
  </si>
  <si>
    <t>210чел.*(360,84руб./куб.м.*0,025куб.м.*3мес.+362,52руб/куб.м.*0,025куб.м.*3мес.+382,25руб./куб.м.*0,025куб.м.*6мес.)</t>
  </si>
  <si>
    <t>210чел.*(211,42руб./куб.м.в мес.*6мес.*1,45куб.м./12+226,93руб./куб.м.в мес.*6мес.*1,45куб.м./12)</t>
  </si>
  <si>
    <t xml:space="preserve">(10,74ч/час*(96,4189руб./час.*3мес.)+(10,74ч/час*100,2864руб./час*9 мес.)+(1,78руб./м.кв.*(3589,1+0)кв.м.*12мес.) </t>
  </si>
  <si>
    <t>13,69руб./кв.м.*1150кв.м.</t>
  </si>
  <si>
    <t>17,51руб.*(3589,1+0)кв.м.</t>
  </si>
  <si>
    <t xml:space="preserve">(632,04руб./куб.м.+251,07/руб./куб.м./3)*12412куб.м./1000    </t>
  </si>
  <si>
    <t xml:space="preserve">(509,07ч/час/12*3*96,4189руб./час.+(509,07/12*9*100,2864руб./час)+(509,07ч/час/12*3*96,4189руб./час.+(509,07/12*9*100,2864руб./час)/1,302*25% </t>
  </si>
  <si>
    <t>3,05 руб./кв.м.*(3589,1+0)кв.м.</t>
  </si>
  <si>
    <t>1,49руб./кв.м*(3589,1+0)кв.м.</t>
  </si>
  <si>
    <t>Итого стоимость услуг/(2595,2+0)кв.м./12мес.</t>
  </si>
  <si>
    <t>3) ГБУЗ РБ Поликлиника №32 г. Уфа (433,2кв.м.)</t>
  </si>
  <si>
    <t>Итого стоимость услуг/(3507,1+806,8)кв.м./12мес.</t>
  </si>
  <si>
    <r>
      <t xml:space="preserve">507чел.*(211,42руб./куб.м.в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</si>
  <si>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 xml:space="preserve">((1,23чел.*(3565руб.+200руб.)*1,5*1,15*1,083*1,302*3мес.)+(3708руб.+200руб.)*1,5*1,15*1,083*1,302*9мес.))+0,100руб./кв.м.асф.покр.*2871кв.м.)*12 мес. </t>
  </si>
  <si>
    <t>(1,25чел*9538,51руб./чел.*3мес.)+(1,25чел*9921,13руб./чел.*9мес.)+(180квартир* 11,48767руб/кв*12 мес.)</t>
  </si>
  <si>
    <t>507чел.*(360,84руб./куб.м.*0,025куб.м.*3мес.+362,52руб/куб.м.*0,025куб.м.*3мес.+382,25руб./куб.м.*0,025куб.м.*6мес.)</t>
  </si>
  <si>
    <t>180вент.*(16,86 руб.+17,53 руб.)</t>
  </si>
  <si>
    <t>507чел.*(211,42руб./куб.м.в мес.*6мес.*1,45куб.м./12+226,93руб./куб.м.в мес.*6мес.*1,45куб.м./12)</t>
  </si>
  <si>
    <t xml:space="preserve">(19,19ч/час*(96,4189руб./час.*3мес.)+(19,19ч/час*100,2864руб./час*9 мес.)+(1,78руб./м.кв.*(8521,9+0)кв.м.*12мес.) </t>
  </si>
  <si>
    <t>13,69руб./кв.м.*1487,8кв.м.</t>
  </si>
  <si>
    <t>17,51руб.*(8521,9+0)кв.м.</t>
  </si>
  <si>
    <t xml:space="preserve">(632,04руб./куб.м.+251,07/руб./куб.м./3)*38073куб.м./1000    </t>
  </si>
  <si>
    <t xml:space="preserve">(1074,57ч/час/12*3*96,4189руб./час.+(1074,57/12*9*100,2864руб./час)+(1074,57ч/час/12*3*96,4189руб./час.+(1074,57/12*9*100,2864руб./час)/1,302*25% </t>
  </si>
  <si>
    <t>3,05руб./кв.м.*(8521,9+0)кв.м.</t>
  </si>
  <si>
    <t>1,49руб./кв.м*(8521,9+0)кв.м.</t>
  </si>
  <si>
    <t>Итого стоимость услуг/(3569,2+0)кв.м./12мес.</t>
  </si>
  <si>
    <t>Итого стоимость услуг/(3559+0)кв.м./12мес.</t>
  </si>
  <si>
    <t>Итого стоимость услуг/(3569,3+0)кв.м./12мес.</t>
  </si>
  <si>
    <t>Итого стоимость услуг/(5670,8+0)кв.м./12мес.</t>
  </si>
  <si>
    <t>Итого стоимость услуг/(5665,5+0)кв.м./12мес.</t>
  </si>
  <si>
    <t>385,2кв.м.*15,70руб.*12мес.</t>
  </si>
  <si>
    <r>
      <t xml:space="preserve">31чел.*(211,42руб./куб.м.в мес.*6мес.*1,45куб.м./12+226,93руб./куб.м.в мес.*6мес.*1,45куб.м./12)*1,18  </t>
    </r>
    <r>
      <rPr>
        <b/>
        <sz val="10"/>
        <rFont val="Times New Roman"/>
        <family val="1"/>
        <charset val="204"/>
      </rPr>
      <t xml:space="preserve"> </t>
    </r>
  </si>
  <si>
    <t xml:space="preserve">((0,23чел.*(3565руб.+200руб.)*1,5*1,15*1,083*1,302*3мес.)+(3708руб.+200руб.)*1,5*1,15*1,083*1,302*9мес.))+0,100руб./кв.м.асф.покр.*280,06кв.м.)*12 мес. </t>
  </si>
  <si>
    <t>31чел.*(360,84руб./куб.м.*0,025куб.м.*3мес.+362,52руб/куб.м.*0,025куб.м.*3мес.+382,25руб./куб.м.*0,025куб.м.*6мес.)</t>
  </si>
  <si>
    <t>8вент.*(16,86 руб.+17,53 руб.)</t>
  </si>
  <si>
    <t>31чел.*(211,42руб./куб.м.в мес.*6мес.*1,45куб.м./12+226,93руб./куб.м.в мес.*6мес.*1,45куб.м./12)</t>
  </si>
  <si>
    <t xml:space="preserve">(3,07ч/час*(96,4189руб./час.*3мес.)+(3,07ч/час*100,2864руб./час*9 мес.)+(1,78руб./м.кв.*(385,2+0)кв.м.*12мес.) </t>
  </si>
  <si>
    <t>13,69руб./кв.м.*296,3кв.м.</t>
  </si>
  <si>
    <t>17,51руб.*(385,2+0)кв.м.</t>
  </si>
  <si>
    <t xml:space="preserve">(632,04руб./куб.м.+251,07/руб./куб.м./3)*1498куб.м./1000    </t>
  </si>
  <si>
    <t xml:space="preserve">(56,61ч/час/12*3*96,4189руб./час.+(56,61/12*9*100,2864руб./час)+(56,61ч/час/12*3*96,4189руб./час.+(56,61/12*9*100,2864руб./час)/1,302*25% </t>
  </si>
  <si>
    <t>3,05руб./кв.м.*(385,2+0)кв.м.</t>
  </si>
  <si>
    <t>1,49руб./кв.м*(385,2+0)кв.м.</t>
  </si>
  <si>
    <t>1) Седлова Т.Н. (132,7кв.м.)</t>
  </si>
  <si>
    <t>2) ООО "СтройСервис" (183,2кв.м.)</t>
  </si>
  <si>
    <t>мягкая кровля</t>
  </si>
  <si>
    <t>Итого стоимость услуг/(11770,3+465)кв.м./12мес.</t>
  </si>
  <si>
    <t>1,49руб./кв.м*(2950,9+684,6)кв.м.</t>
  </si>
  <si>
    <t>13973руб.*7лифтов</t>
  </si>
  <si>
    <t>1,49руб./кв.м*(14614,1+374,1)кв.м.</t>
  </si>
  <si>
    <t>987,49руб./мес.*12мес.</t>
  </si>
  <si>
    <t>1,49руб./кв.м*(864,8+187,6)кв.м.</t>
  </si>
  <si>
    <t xml:space="preserve">.-т/о оборудования </t>
  </si>
  <si>
    <t>2006,75руб./мес.*12мес.</t>
  </si>
  <si>
    <t>1,49руб./кв.м*(7983,9+983,1)кв.м.</t>
  </si>
  <si>
    <t>1131,15руб./мес.*12мес.</t>
  </si>
  <si>
    <t>1,49руб./кв.м*(834,2+371,3)кв.м.</t>
  </si>
  <si>
    <t>1,49руб./кв.м*(820+218,7)кв.м.</t>
  </si>
  <si>
    <t>1,49руб./кв.м*(8011,8+0)кв.м.</t>
  </si>
  <si>
    <t>1,49руб./кв.м*(7514,55+85,8)кв.м.</t>
  </si>
  <si>
    <t>14дым.*(49,72 руб.*2 раза с год+51,71руб.*2 раза в год)</t>
  </si>
  <si>
    <t>проживающих</t>
  </si>
  <si>
    <t>3549,4кв.м.*12,65руб./кв.м.*12мес.</t>
  </si>
  <si>
    <t>Узел автоматич.регул.</t>
  </si>
  <si>
    <t>Профосмотры</t>
  </si>
  <si>
    <t>Дворники</t>
  </si>
  <si>
    <t>дерат</t>
  </si>
  <si>
    <t>дезин</t>
  </si>
  <si>
    <t>объем дома</t>
  </si>
  <si>
    <t>Узел учета т/э</t>
  </si>
  <si>
    <t>(0чел.*9921,13*6мес.)+(0чел.*10317,11*6мес.)+(80квартир*10,41812руб/кв*12мес.)</t>
  </si>
  <si>
    <t>Вентканалов</t>
  </si>
  <si>
    <t>80вент.*(16,06 руб.+16,70 руб.)</t>
  </si>
  <si>
    <t>0дым.*(47,36руб.*2 раза с год+49,25руб.*2 раза в год)</t>
  </si>
  <si>
    <t>0,25 руб./мес.*1336,9кв.м.*12мес.</t>
  </si>
  <si>
    <t>2,34руб./мес.*1336,9кв.м.*4 раза</t>
  </si>
  <si>
    <t xml:space="preserve">(12,41ч/час*100,2134руб./час.*6мес.)+(12,41ч/час*104,2268руб./час*6мес.)+(1,71руб./м.кв.*(3549,40+0)кв.м.*12мес.) </t>
  </si>
  <si>
    <t>17,51руб.*(3549,40+0)кв.м.</t>
  </si>
  <si>
    <t>3,051руб./кв.м.*(3549,4+0)кв.м.</t>
  </si>
  <si>
    <t>Итого стоимость услуг с НДС 20%:</t>
  </si>
  <si>
    <t>635,59руб./мес.*6 мес.+661,01руб./мес.*6мес.*УУТЭ</t>
  </si>
  <si>
    <t>695,13руб./мес.*6 мес.+722,94руб./мес.*6мес.*УАР</t>
  </si>
  <si>
    <t>План работ на 2019г., согласно Постановлению Правительства РФ от 23 сентября 2010г. №731 п.11 пп.б</t>
  </si>
  <si>
    <t>(0,45чел.(уб.л/пл.)*9921,13*6мес.)+(0,45*10317,11*6 мес.)</t>
  </si>
  <si>
    <t>0,25 руб./мес.*722,50кв.м.*12мес.</t>
  </si>
  <si>
    <t>2,34руб./мес.*722,50кв.м.*4 раза</t>
  </si>
  <si>
    <t xml:space="preserve">(9,98ч/час*100,2134руб./час.*6мес.)+(9,98ч/час*104,2268руб./час*6мес.)+(1,71руб./м.кв.*(3573,60+0)кв.м.*12мес.) </t>
  </si>
  <si>
    <t>13,69руб./кв.м.*873,00кв.м.</t>
  </si>
  <si>
    <t>17,51руб.*(3573,60+0)кв.м.</t>
  </si>
  <si>
    <t>3569,2кв.м.*14,47руб./кв.м.*12мес.</t>
  </si>
  <si>
    <t>Смета доходов  и расходов на содержание и текущий ремонт общедомового имущества дома №54 ул. Вологодская</t>
  </si>
  <si>
    <t>ЖЭУ-27  (с НДС)</t>
  </si>
  <si>
    <t>2535,2кв.м.*13,72руб./кв.м.*12мес.</t>
  </si>
  <si>
    <t>вентканалы</t>
  </si>
  <si>
    <t>УУТЭ</t>
  </si>
  <si>
    <t>УАР</t>
  </si>
  <si>
    <t>59вент.*(16,06 руб.+16,70руб.)</t>
  </si>
  <si>
    <t>0дым.*(47,36 руб.*2 раза с год+49,29руб.*2 раза в год)</t>
  </si>
  <si>
    <t>0,25 руб./мес.*646,10 кв.м.*12 мес.</t>
  </si>
  <si>
    <t>2,34 руб./мес.*646,10 кв.м.*4 раза</t>
  </si>
  <si>
    <t>635,59руб./мес.*6 мес.+661,01руб./мес.*6мес.* УУТЭ</t>
  </si>
  <si>
    <t>466,10руб./мес.*6 мес.+484,74руб./мес.*6мес.*УАР</t>
  </si>
  <si>
    <t xml:space="preserve">8,58ч/час*(100,2134руб./час.*6мес.)+(8,58*104,2268руб./час*6мес.)+(1,71руб./м.кв.*(2535,20+0)кв.м.*12мес.) </t>
  </si>
  <si>
    <t>13,69руб./кв.м.*833,00кв.м</t>
  </si>
  <si>
    <t>17,51руб./кв.м.*(2535,20+0)кв.м.</t>
  </si>
  <si>
    <t>.-смена оконных блоков</t>
  </si>
  <si>
    <t>.-ремонт откосов</t>
  </si>
  <si>
    <t>(Прямые расходы+общеэкспуатационные расходы)*0,132**</t>
  </si>
  <si>
    <t>Итого стоимость услуг/(2535,2+0)кв.м./12мес.</t>
  </si>
  <si>
    <t>Начальник ПЭО                                                            Н.Л. Ганиев</t>
  </si>
  <si>
    <t>(0чел.*9921,13*6мес.)+(0чел.*10317,11*6мес.)+(80вартир*10,95538руб/кв*12мес.)*к-во мус-ов</t>
  </si>
  <si>
    <t>(0чел.*9921,13*6мес.)+(0чел.*10317,11*6мес.)+(59вартир*10,95538руб/кв*12мес.)*к-во мус-ов</t>
  </si>
  <si>
    <t xml:space="preserve">0,87чел.*(3708,00руб.+200руб.))*1,5*1,15*1,083*1,302*6мес.)+0,87*(3856,00руб.+200руб.))*1,5*1,15*1,083*1,302*6мес.)+0,104руб./кв.м.асф.покр.*1358,20кв.м.)*12 мес. </t>
  </si>
  <si>
    <t>(0чел.(уб.л/пл.)*9921,13*6мес.)+(0*10317,11*6 мес.)</t>
  </si>
  <si>
    <t xml:space="preserve">(654,11руб./куб.м.+263,56/руб./куб.м./3)*9304/1000    </t>
  </si>
  <si>
    <t xml:space="preserve">(379,5ч/час/12*6*100,2134руб./час.+(379,56/12*6*104,2268руб./час)+(379,56ч/час/12*6*100,2134руб./час.+(379,56/12*6*104,2268руб./час)/1,302*25% </t>
  </si>
  <si>
    <t>3,051руб./кв.м.*(2535,2+0)кв.м.</t>
  </si>
  <si>
    <t>1,54руб./кв.м*(2535,2+0)кв.м.</t>
  </si>
  <si>
    <t>Прямые расходы*0,348*</t>
  </si>
  <si>
    <t xml:space="preserve">(506,13ч/час/12*6*100,2134руб./час.+(506,13/12*6*104,2268руб./час)+(506,13ч/час/12*6*100,2134руб./час.+(506,13/12*6*104,2268руб./час)/1,302*25% </t>
  </si>
  <si>
    <t xml:space="preserve">(654,11руб./куб.м.+263,56/руб./куб.м./3)*12250/1000    </t>
  </si>
  <si>
    <t>1,54руб./кв.м*(3549,4+0)кв.м.</t>
  </si>
  <si>
    <t xml:space="preserve">* 0,348-коэффициент соотношения по Орджоникидзевскому району на 2019 год общеэксплуатационных расходов к прямым, исходя из фактических данных 2018 года. </t>
  </si>
  <si>
    <t xml:space="preserve">** 0,132-коэффициент соотношения по Орджоникидзевскому району на 2019год услуг по управлению и начислению платежей, исходя из фактических данных 2018 года. </t>
  </si>
  <si>
    <t xml:space="preserve">2,13чел.*(3708руб.+200руб.))*1,5*1,15*1,083*1,302*6мес.)+2,13*(3856руб.+200руб.))*1,5*1,15*1,083*1,302*6мес.)+0,104руб./кв.м.асф.покр.*1248,0кв.м.)*12 мес. </t>
  </si>
  <si>
    <t xml:space="preserve">2,27чел.*(3708руб.+200руб.))*1,5*1,15*1,083*1,302*6мес.)+2,27*(3856руб.+200руб.))*1,5*1,15*1,083*1,302*6мес.)+0,104руб./кв.м.асф.покр.*1352,0кв.м.)*12 мес. </t>
  </si>
  <si>
    <t xml:space="preserve">(497,64ч/час/12*6*100,2134руб./час.+(497,64/12*6*104,2268руб./час)+(497,64ч/час/12*6*100,2134руб./час.+(497,64/12*6*104,2268руб./час)/1,302*25% </t>
  </si>
  <si>
    <t xml:space="preserve">(654,11руб./куб.м.+263,56/руб./куб.м./3)*14256/1000    </t>
  </si>
  <si>
    <t>3,051 руб./кв.м.*(3569,2+0)кв.м.</t>
  </si>
  <si>
    <t>1,54руб./кв.м*(3569,2+0)кв.м.</t>
  </si>
  <si>
    <t>Смета доходов  и расходов на содержание и текущий ремонт общедомового имущества дома №84 ул. Адмирала Ушакова</t>
  </si>
  <si>
    <t>ЖЭУ-37 (с НДС)</t>
  </si>
  <si>
    <t>ООО "ОЖХ Ордж. Района"(20,3кв.м)</t>
  </si>
  <si>
    <t>.-комплексное обслуж. лифтов</t>
  </si>
  <si>
    <t>.-освидетельствование лифтов</t>
  </si>
  <si>
    <t>4190руб.*7 лифт</t>
  </si>
  <si>
    <t>1 раз в мес.</t>
  </si>
  <si>
    <t>-обслуживание экобоксов</t>
  </si>
  <si>
    <t>Итого стоимость услуг/(14736,8+20,30)кв.м./12мес.</t>
  </si>
  <si>
    <t>Смета доходов  и расходов на содержание и текущий ремонт общедомового имущества дома №86 ул. Адмирала Ушакова</t>
  </si>
  <si>
    <t>.-т/о , ремонт АППЗ и ДУ</t>
  </si>
  <si>
    <t>48кв.*(42,9 руб./кв.*6мес.+44,62руб./кв.*6мес)</t>
  </si>
  <si>
    <t>Итого стоимость услуг/(2793,2+0)кв.м./12мес.</t>
  </si>
  <si>
    <t>Смета доходов  и расходов на содержание и текущий ремонт общедомового имущества дома №86/1 ул. Адмирала Ушакова</t>
  </si>
  <si>
    <t>Итого стоимость услуг/(14753,3+0)кв.м./12мес.</t>
  </si>
  <si>
    <t>Смета доходов  и расходов на содержание и текущий ремонт общедомового имущества дома №86/2 ул. Адмирала Ушакова</t>
  </si>
  <si>
    <t>Итого стоимость услуг/(3839+0)кв.м./12мес.</t>
  </si>
  <si>
    <t>2759,9в.м.*23,36руб./кв.м.*12мес.</t>
  </si>
  <si>
    <t>Итого стоимость услуг/(2759,9+0)кв.м./12мес.</t>
  </si>
  <si>
    <t>Смета доходов  и расходов на содержание и текущий ремонт общедомового имущества дома №88/1 ул. Адмирала Ушакова</t>
  </si>
  <si>
    <t>17,51руб./кв.м.*(14823,9+0)кв.м.</t>
  </si>
  <si>
    <t>Итого стоимость услуг/(14823,9+0)кв.м./12мес.</t>
  </si>
  <si>
    <t>Смета доходов  и расходов на содержание и текущий ремонт общедомового имущества дома №90 ул. Адмирала Ушакова</t>
  </si>
  <si>
    <t>17,51руб./кв.м.*(2748+0)кв.м.</t>
  </si>
  <si>
    <t>Итого стоимость услуг/(2748+0)кв.м./12мес.</t>
  </si>
  <si>
    <t>Смета доходов  и расходов на содержание и текущий ремонт общедомового имущества дома №90/1 ул. Адмирала Ушакова</t>
  </si>
  <si>
    <t>Итого стоимость услуг/(3821,7+0)кв.м./12мес.</t>
  </si>
  <si>
    <t>Смета доходов  и расходов на содержание и текущий ремонт общедомового имущества дома №67 ул. Богдана Хмельницкого</t>
  </si>
  <si>
    <t>уар</t>
  </si>
  <si>
    <t>2,34руб./мес.*1026кв.м.*4 раза</t>
  </si>
  <si>
    <t>Итого стоимость услуг/(3566,2+0)кв.м./12мес.</t>
  </si>
  <si>
    <t>Смета доходов  и расходов на содержание и текущий ремонт общедомового имущества дома №68 ул. Богдана Хмельницкого</t>
  </si>
  <si>
    <t>Итого стоимость услуг/(3565,5+0)кв.м./12мес.</t>
  </si>
  <si>
    <t>Смета доходов  и расходов на содержание и текущий ремонт общедомового имущества дома №69 ул. Богдана Хмельницкого</t>
  </si>
  <si>
    <t>Итого стоимость услуг/(3540,5+0)кв.м./12мес.</t>
  </si>
  <si>
    <t>Смета доходов  и расходов на содержание и текущий ремонт общедомового имущества дома №70 ул. Богдана Хмельницкого</t>
  </si>
  <si>
    <t>2,34руб./мес.*876кв.м.*4 раза</t>
  </si>
  <si>
    <t>Итого стоимость услуг/(3551,9+0)кв.м./12мес.</t>
  </si>
  <si>
    <t>Смета доходов  и расходов на содержание и текущий ремонт общедомового имущества дома №71 ул. Богдана Хмельницкого</t>
  </si>
  <si>
    <t>Итого стоимость услуг/(3571,1+0)кв.м./12мес.</t>
  </si>
  <si>
    <t>Смета доходов  и расходов на содержание и текущий ремонт общедомового имущества дома №71/1 ул. Богдана Хмельницкого</t>
  </si>
  <si>
    <t>Итого стоимость услуг/(3563,4+0)кв.м./12мес.</t>
  </si>
  <si>
    <t>Смета доходов  и расходов на содержание и текущий ремонт общедомового имущества дома №88/1 ул. Богдана Хмельницкого</t>
  </si>
  <si>
    <t>Итого стоимость услуг/(4915,8+0)кв.м./12мес.</t>
  </si>
  <si>
    <t>Смета доходов  и расходов на содержание и текущий ремонт общедомового имущества дома №52 ул. Вологодская</t>
  </si>
  <si>
    <t>ОАО "Сбербанк России" (123,1 кв.м)</t>
  </si>
  <si>
    <t>ООО "Оптик-Плюс" (27,7 кв.м)</t>
  </si>
  <si>
    <t>ЗАО "Форвард" (361,9кв.м)</t>
  </si>
  <si>
    <t>Итого стоимость услуг/2948,6+524,8)кв.м./12мес.</t>
  </si>
  <si>
    <t>Смета доходов  и расходов на содержание и текущий ремонт общедомового имущества дома №56 ул. Вологодская</t>
  </si>
  <si>
    <t>2579,1кв.м.*14,83руб./кв.м.*12мес.</t>
  </si>
  <si>
    <t>Итого стоимость услуг/(2579,1+0)кв.м./12мес.</t>
  </si>
  <si>
    <t>Смета доходов  и расходов на содержание и текущий ремонт общедомового имущества дома №58 ул. Вологодская</t>
  </si>
  <si>
    <t>2852,7кв.м.*14,83руб./кв.м.*12мес.</t>
  </si>
  <si>
    <t>МБУ Межшкольный учебный комбинат "Стиль" Орджоникидзевского района г. Уфа РБ (702,8 кв.м)</t>
  </si>
  <si>
    <t>702,8кв.м.*14,83руб.*12мес.</t>
  </si>
  <si>
    <t>ООО  "ОЖХ Орджоникидзевский района" (44,3кв.м)</t>
  </si>
  <si>
    <t>44,3кв.м.*14,83руб.*12мес.</t>
  </si>
  <si>
    <t>Итого стоимость услуг/(2852,7+747,1)кв.м./12мес.</t>
  </si>
  <si>
    <t>2793,2в.м.*20,28руб./кв.м.*12мес.</t>
  </si>
  <si>
    <t>14736,8в.м.*20,93руб./кв.м.*12мес.</t>
  </si>
  <si>
    <t>20,3кв.м.*20,93руб.*12мес.</t>
  </si>
  <si>
    <t xml:space="preserve">2,11чел.*(3708руб.+200руб.))*1,5*1,15*1,083*1,302*6мес.)+2,11*(3856руб.+200руб.))*1,5*1,15*1,083*1,302*6мес.)+0,104руб./кв.м.асф.покр.*3062кв.м.)*12 мес. </t>
  </si>
  <si>
    <t>(чел.(уб.л/пл.)*9921,13*6мес.)+(0*10317,11*6 мес.)</t>
  </si>
  <si>
    <t>252вент.*(16,06 руб.+16,70 руб.)</t>
  </si>
  <si>
    <t>(1,75чел.*9921,13*6мес.)+(1,75чел.*10317,11*6мес.)+(252квартир*10,41812руб/кв*12мес.)</t>
  </si>
  <si>
    <t>0,25 руб./мес.*1880,50кв.м.*12мес.</t>
  </si>
  <si>
    <t>2,34руб./мес.*1880,50кв.м.*4 раза</t>
  </si>
  <si>
    <t xml:space="preserve">30,06ч/час*(100,2134руб./час.*6мес.)+(30,06*104,2268руб./час*6мес.)+(1,71руб./м.кв.*(14736,80+20,30)кв.м.*12мес.) </t>
  </si>
  <si>
    <t>17,51руб./кв.м.*(14736,80+20,30)кв.м.</t>
  </si>
  <si>
    <t>3,051руб./кв.м.*(14736,80+20,30)кв.м.</t>
  </si>
  <si>
    <t>1,54руб./кв.м*(14736,80+20,30)кв.м.</t>
  </si>
  <si>
    <t xml:space="preserve">(654,11руб./куб.м.+263,56/руб./куб.м./3)*56922/1000    </t>
  </si>
  <si>
    <t xml:space="preserve">(1643,58ч/час/12*6*100,2134руб./час.+(1643,586/12*6*104,2268руб./час)+(1643,586ч/час/12*6*100,2134руб./час.+(1643,586/12*6*104,2268руб./час)/1,302*25% </t>
  </si>
  <si>
    <t xml:space="preserve">0,86чел.*(3708руб.+200руб.))*1,5*1,15*1,083*1,302*6мес.)+0,86*(3856руб.+200руб.))*1,5*1,15*1,083*1,302*6мес.)+0,104руб./кв.м.асф.покр.*1425,20кв.м.)*12 мес. </t>
  </si>
  <si>
    <t>(0,42чел.*9921,13*6мес.)+(0,42чел.*10317,11*6мес.)+(48квартир*10,41812руб/кв*12мес.)</t>
  </si>
  <si>
    <t>48вент.*(16,06 руб.+16,70 руб.)</t>
  </si>
  <si>
    <t>0,25 руб./мес.*338кв.м.*12мес.</t>
  </si>
  <si>
    <t>2,34руб./мес.*338кв.м.*4 раза</t>
  </si>
  <si>
    <t>4190руб.*лифт</t>
  </si>
  <si>
    <t>3750руб.*12мес.)*7 лифт</t>
  </si>
  <si>
    <t>3750руб.*12мес.)*лифт</t>
  </si>
  <si>
    <t xml:space="preserve">6,93ч/час*(100,2134руб./час.*6мес.)+(6,93*104,2268руб./час*6мес.)+(1,71руб./м.кв.*(2793,20+0)кв.м.*12мес.) </t>
  </si>
  <si>
    <t>3,051руб./кв.м.*(2793,20+0)кв.м.</t>
  </si>
  <si>
    <t>1,54руб./кв.м*(2793,20+0)кв.м.</t>
  </si>
  <si>
    <t>17,51руб./кв.м.*(2793,20+0)кв.м.</t>
  </si>
  <si>
    <t xml:space="preserve">(654,11руб./куб.м.+263,56/руб./куб.м./3)*13237/1000    </t>
  </si>
  <si>
    <t xml:space="preserve">(327,18ч/час/12*6*100,2134руб./час.+(327,186/12*6*104,2268руб./час)+(327,186ч/час/12*6*100,2134руб./час.+(327,186/12*6*104,2268руб./час)/1,302*25% </t>
  </si>
  <si>
    <t>14753,3в.м.*20,96руб./кв.м.*12мес.</t>
  </si>
  <si>
    <t xml:space="preserve">2,75чел.*(3708руб.+200руб.))*1,5*1,15*1,083*1,302*6мес.)+2,75*(3856руб.+200руб.))*1,5*1,15*1,083*1,302*6мес.)+0,104руб./кв.м.асф.покр.*2973,90кв.м.)*12 мес. </t>
  </si>
  <si>
    <t>(1,75чел.*9921,13*6мес.)+(1,75ел.*10317,11*6мес.)+(252квартир*10,41812руб/кв*12мес.)</t>
  </si>
  <si>
    <t>0кв.*(42,9 руб./кв.*6мес. +44,62руб./кв.*6мес)</t>
  </si>
  <si>
    <t xml:space="preserve">30ч/час*(100,2134руб./час.*6мес.)+(30*104,2268руб./час*6мес.)+(1,71руб./м.кв.*(14753,30+0)кв.м.*12мес.) </t>
  </si>
  <si>
    <t>17,51руб./кв.м.*(14753,30+0)кв.м.</t>
  </si>
  <si>
    <t>3,051руб./кв.м.*(14753,30+0)кв.м.</t>
  </si>
  <si>
    <t>1,54руб./кв.м*(14753,30+0)кв.м.</t>
  </si>
  <si>
    <t>0,25 руб./мес.*1788,20кв.м.*12мес.</t>
  </si>
  <si>
    <t>2,34руб./мес.*1788,20кв.м.*4 раза</t>
  </si>
  <si>
    <t xml:space="preserve">0,92чел.*(3708руб.+200руб.))*1,5*1,15*1,083*1,302*6мес.)+0,92*(3856руб.+200руб.))*1,5*1,15*1,083*1,302*6мес.)+0,104руб./кв.м.асф.покр.*818,70кв.м.)*12 мес. </t>
  </si>
  <si>
    <t>(0,50чел.*9921,13*6мес.)+(0,50ел.*10317,11*6мес.)+(72квартир*10,41812руб/кв*12мес.)</t>
  </si>
  <si>
    <t>72вент.*(16,06 руб.+16,70 руб.)</t>
  </si>
  <si>
    <t>0,25 руб./мес.*606кв.м.*12мес.</t>
  </si>
  <si>
    <t>2,34руб./мес.*606кв.м.*4 раза</t>
  </si>
  <si>
    <t xml:space="preserve">9,36ч/час*(100,2134руб./час.*6мес.)+(9,36*104,2268руб./час*6мес.)+(1,71руб./м.кв.*(3839,00+0)кв.м.*12мес.) </t>
  </si>
  <si>
    <t>17,51руб./кв.м.*(3839,00+0)кв.м.</t>
  </si>
  <si>
    <t xml:space="preserve">(654,11руб./куб.м.+263,56/руб./куб.м./3)*17039/1000    </t>
  </si>
  <si>
    <t xml:space="preserve">(479,71ч/час/12*6*100,2134руб./час.+(479,716/12*6*104,2268руб./час)+(479,716ч/час/12*6*100,2134руб./час.+(479,716/12*6*104,2268руб./час)/1,302*25% </t>
  </si>
  <si>
    <t>3839в.м.*20,76руб./кв.м.*12мес.</t>
  </si>
  <si>
    <t>3,051руб./кв.м.*(3839,00+0)кв.м.</t>
  </si>
  <si>
    <t>1,54руб./кв.м*(3839,00+0)кв.м.</t>
  </si>
  <si>
    <t xml:space="preserve">0,48чел.*(3708руб.+200руб.))*1,5*1,15*1,083*1,302*6мес.)+0,48*(3856руб.+200руб.))*1,5*1,15*1,083*1,302*6мес.)+0,104руб./кв.м.асф.покр.*1054,50кв.м.)*12 мес. </t>
  </si>
  <si>
    <t>(0,33чел.*9921,13*6мес.)+(0,33ел.*10317,11*6мес.)+(48квартир*10,41812руб/кв*12мес.)</t>
  </si>
  <si>
    <t>0,25 руб./мес.*357кв.м.*12мес.</t>
  </si>
  <si>
    <t>2,34руб./мес.*357кв.м.*4 раза</t>
  </si>
  <si>
    <t>48кв.*(42,9 руб./кв.*6мес. +44,62руб./кв.*6мес)</t>
  </si>
  <si>
    <t xml:space="preserve">6,96ч/час*(100,2134руб./час.*6мес.)+(6,96*104,2268руб./час*6мес.)+(1,71руб./м.кв.*(2759,90)кв.м.*12мес.) </t>
  </si>
  <si>
    <t>17,51руб./кв.м.*(2759,90)кв.м.</t>
  </si>
  <si>
    <t xml:space="preserve">(654,11руб./куб.м.+263,56/руб./куб.м./3)*12990/1000    </t>
  </si>
  <si>
    <t xml:space="preserve">(322,58ч/час/12*6*100,2134руб./час.+(322,586/12*6*104,2268руб./час)+(322,586ч/час/12*6*100,2134руб./час.+(322,586/12*6*104,2268руб./час)/1,302*25% </t>
  </si>
  <si>
    <t>252кв.*(42,9 руб./кв.*6мес. +44,62руб./кв.*6мес)</t>
  </si>
  <si>
    <t xml:space="preserve">30,43ч/час*(100,2134руб./час.*6мес.)+(30,43*104,2268руб./час*6мес.)+(1,71руб./м.кв.*(14823,9+0)кв.м.*12мес.) </t>
  </si>
  <si>
    <t>3,051руб./кв.м.*(14823,9+0)кв.м.</t>
  </si>
  <si>
    <t>1,54руб./кв.м*(14823,9+0)кв.м.</t>
  </si>
  <si>
    <t xml:space="preserve">(654,11руб./куб.м.+263,56/руб./куб.м./3)*60352/1000    </t>
  </si>
  <si>
    <t xml:space="preserve">(1654,10ч/час/12*6*100,2134руб./час.+(1654,106/12*6*104,2268руб./час)+(1654,106ч/час/12*6*100,2134руб./час.+(1654,106/12*6*104,2268руб./час)/1,302*25% </t>
  </si>
  <si>
    <t>14823,9в.м.*20,78руб./кв.м.*12мес.</t>
  </si>
  <si>
    <t>2748в.м.*22,47руб./кв.м.*12мес.</t>
  </si>
  <si>
    <t>0,25 руб./мес.*296кв.м.*12мес.</t>
  </si>
  <si>
    <t>2,34руб./мес.*296кв.м.*4 раза</t>
  </si>
  <si>
    <t xml:space="preserve">6,75ч/час*(100,2134руб./час.*6мес.)+(6,75*104,2268руб./час*6мес.)+(1,71руб./м.кв.*(2748+0)кв.м.*12мес.) </t>
  </si>
  <si>
    <t xml:space="preserve">(654,11руб./куб.м.+263,56/руб./куб.м./3)*12643/1000    </t>
  </si>
  <si>
    <t xml:space="preserve">(327,20ч/час/12*6*100,2134руб./час.+(327,206/12*6*104,2268руб./час)+(327,206ч/час/12*6*100,2134руб./час.+(327,206/12*6*104,2268руб./час)/1,302*25% </t>
  </si>
  <si>
    <t>3,051руб./кв.м.*(2748+0)кв.м.</t>
  </si>
  <si>
    <t>1,54руб./кв.м*(2748+0)кв.м.</t>
  </si>
  <si>
    <t>3821,7в.м.*22,44руб./кв.м.*12мес.</t>
  </si>
  <si>
    <t>Обоснование:расчет платы на 1 кв.м.площади, на 1 чел.</t>
  </si>
  <si>
    <t xml:space="preserve">0,58чел.*(3708руб.+200руб.))*1,5*1,15*1,083*1,302*6мес.)+0,58*(3856руб.+200руб.))*1,5*1,15*1,083*1,302*6мес.)+0,104руб./кв.м.асф.покр.*991кв.м.)*12 мес. </t>
  </si>
  <si>
    <t>0,25 руб./мес.*595кв.м.*12мес.</t>
  </si>
  <si>
    <t>2,34руб./мес.*595кв.м.*4 раза</t>
  </si>
  <si>
    <t xml:space="preserve">15,30ч/час*(100,2134руб./час.*6мес.)+(15,30*104,2268руб./час*6мес.)+(1,71руб./м.кв.*(3821,70+0)кв.м.*12мес.) </t>
  </si>
  <si>
    <t xml:space="preserve">(654,11руб./куб.м.+263,56/руб./куб.м./3)*15690/1000    </t>
  </si>
  <si>
    <t xml:space="preserve">(476,87ч/час/12*6*100,2134руб./час.+(476,876/12*6*104,2268руб./час)+(476,876ч/час/12*6*100,2134руб./час.+(476,876/12*6*104,2268руб./час)/1,302*25% </t>
  </si>
  <si>
    <t>3,051руб./кв.м.*(3821,7+0)кв.м.</t>
  </si>
  <si>
    <t>1,54руб./кв.м*(3821,7+0)кв.м.</t>
  </si>
  <si>
    <t>3566,2кв.м.*13,42руб./кв.м.*12мес.</t>
  </si>
  <si>
    <t xml:space="preserve">0,90чел.*(3708руб.+200руб.))*1,5*1,15*1,083*1,302*6мес.)+0,90*(3856руб.+200руб.))*1,5*1,15*1,083*1,302*6мес.)+0,104руб./кв.м.асф.покр.*952кв.м.)*12 мес. </t>
  </si>
  <si>
    <t>(0чел.*9921,13*6мес.)+(0ел.*10317,11*6мес.)+(80квартир*10,41812руб/кв*12мес.)</t>
  </si>
  <si>
    <t>0,25 руб./мес.*1026кв.м.*12мес.</t>
  </si>
  <si>
    <t xml:space="preserve">11,32ч/час*(100,2134руб./час.*6мес.)+(11,32*104,2268руб./час*6мес.)+(1,71руб./м.кв.*(3566,20+0)кв.м.*12мес.) </t>
  </si>
  <si>
    <t>15,92руб./кв.м.*1140кв.м</t>
  </si>
  <si>
    <t>17,51руб./кв.м.*(3566,20+0)кв.м.</t>
  </si>
  <si>
    <t xml:space="preserve">(654,11руб./куб.м.+263,56/руб./куб.м./3)*13774/1000    </t>
  </si>
  <si>
    <t xml:space="preserve">(507,52ч/час/12*6*100,2134руб./час.+(507,526/12*6*104,2268руб./час)+(507,526ч/час/12*6*100,2134руб./час.+(507,526/12*6*104,2268руб./час)/1,302*25% </t>
  </si>
  <si>
    <t xml:space="preserve">0,89чел.*(3708руб.+200руб.))*1,5*1,15*1,083*1,302*6мес.)+0,89*(3856руб.+200руб.))*1,5*1,15*1,083*1,302*6мес.)+0,104руб./кв.м.асф.покр.*733,7кв.м.)*12 мес. </t>
  </si>
  <si>
    <t xml:space="preserve">11,37ч/час*(100,2134руб./час.*6мес.)+(11,37*104,2268руб./час*6мес.)+(1,71руб./м.кв.*(3565,50+0)кв.м.*12мес.) </t>
  </si>
  <si>
    <t>17,51руб./кв.м.*(3565,50+0)кв.м.</t>
  </si>
  <si>
    <t xml:space="preserve">(654,11руб./куб.м.+263,56/руб./куб.м./3)*12381/1000    </t>
  </si>
  <si>
    <t xml:space="preserve">(515,48ч/час/12*6*100,2134руб./час.+(515,48/12*6*104,2268руб./час)+(515,48ч/час/12*6*100,2134руб./час.+(515,48/12*6*104,2268руб./час)/1,302*25% </t>
  </si>
  <si>
    <t>3,051руб./кв.м.*(3565,50+0)кв.м.</t>
  </si>
  <si>
    <t>1,54руб./кв.м*(3565,50+0)кв.м.</t>
  </si>
  <si>
    <t>3565,5кв.м.*13,38руб./кв.м.*12мес.</t>
  </si>
  <si>
    <t>3540,5кв.м.*13,54руб./кв.м.*12мес.</t>
  </si>
  <si>
    <t xml:space="preserve">1,28чел.*(3708руб.+200руб.))*1,5*1,15*1,083*1,302*6мес.)+1,28*(3856руб.+200руб.))*1,5*1,15*1,083*1,302*6мес.)+0,104руб./кв.м.асф.покр.*1619,10кв.м.)*12 мес. </t>
  </si>
  <si>
    <t>0,25 руб./мес.*868,70кв.м.*12мес.</t>
  </si>
  <si>
    <t>2,34руб./мес.*868,70кв.м.*4 раза</t>
  </si>
  <si>
    <t xml:space="preserve">11,37ч/час*(100,2134руб./час.*6мес.)+(11,37*104,2268руб./час*6мес.)+(1,71руб./м.кв.*(3540,50+0)кв.м.*12мес.) </t>
  </si>
  <si>
    <t>15,92руб./кв.м.*1130кв.м</t>
  </si>
  <si>
    <t>17,51руб./кв.м.*(3540,50+0)кв.м.</t>
  </si>
  <si>
    <t xml:space="preserve">(654,11руб./куб.м.+263,56/руб./куб.м./3)*12596/1000    </t>
  </si>
  <si>
    <t xml:space="preserve">(506,53ч/час/12*6*100,2134руб./час.+(506,53/12*6*104,2268руб./час)+(506,53ч/час/12*6*100,2134руб./час.+(506,53/12*6*104,2268руб./час)/1,302*25% </t>
  </si>
  <si>
    <t>3551,9в.м.*13,59руб./кв.м.*12мес.</t>
  </si>
  <si>
    <t xml:space="preserve">1,54чел.*(3708руб.+200руб.))*1,5*1,15*1,083*1,302*6мес.)+1,54*(3856руб.+200руб.))*1,5*1,15*1,083*1,302*6мес.)+0,104руб./кв.м.асф.покр.*959,20кв.м.)*12 мес. </t>
  </si>
  <si>
    <t>0,25 руб./мес.*876кв.м.*12мес.</t>
  </si>
  <si>
    <t xml:space="preserve">10,76ч/час*(100,2134руб./час.*6мес.)+(10,76*104,2268руб./час*6мес.)+(1,71руб./м.кв.*(3551,90+0)кв.м.*12мес.) </t>
  </si>
  <si>
    <t>17,51руб./кв.м.*(3551,90+0)кв.м.</t>
  </si>
  <si>
    <t xml:space="preserve">(654,11руб./куб.м.+263,56/руб./куб.м./3)*12439/1000    </t>
  </si>
  <si>
    <t xml:space="preserve">(514,46ч/час/12*6*100,2134руб./час.+(514,46/12*6*104,2268руб./час)+(514,46ч/час/12*6*100,2134руб./час.+(514,46/12*6*104,2268руб./час)/1,302*25% </t>
  </si>
  <si>
    <t>3,051руб./кв.м.*(3551,90+0)кв.м.</t>
  </si>
  <si>
    <t>1,54руб./кв.м*(3551,90+0)кв.м.</t>
  </si>
  <si>
    <t>3,051руб./кв.м.*(3540,50+0)кв.м.</t>
  </si>
  <si>
    <t>1,54руб./кв.м*(3540,50+0)кв.м.</t>
  </si>
  <si>
    <t>317,21ру.*12мес.</t>
  </si>
  <si>
    <t>412,82ру.*12мес.</t>
  </si>
  <si>
    <t>410,09ру.*12мес.</t>
  </si>
  <si>
    <t>411,36ру.*12мес.</t>
  </si>
  <si>
    <t>336,95ру.*12мес.</t>
  </si>
  <si>
    <t xml:space="preserve">1,33чел.*(3708руб.+200руб.))*1,5*1,15*1,083*1,302*6мес.)+1,33*(3856руб.+200руб.))*1,5*1,15*1,083*1,302*6мес.)+0,104руб./кв.м.асф.покр.*1548,40кв.м.)*12 мес. </t>
  </si>
  <si>
    <t>0,25 руб./мес.*875,70кв.м.*12мес.</t>
  </si>
  <si>
    <t>2,34руб./мес.*875,70кв.м.*4 раза</t>
  </si>
  <si>
    <t xml:space="preserve">10,77ч/час*(100,2134руб./час.*6мес.)+(10,77*104,2268руб./час*6мес.)+(1,71руб./м.кв.*(3571,10+0)кв.м.*12мес.) </t>
  </si>
  <si>
    <t>15,92руб./кв.м.*1135кв.м</t>
  </si>
  <si>
    <t>17,51руб./кв.м.*(3571,10+0)кв.м.</t>
  </si>
  <si>
    <t>3,051руб./кв.м.*(3571,10+0)кв.м.</t>
  </si>
  <si>
    <t>1,54руб./кв.м*(3571,10+0)кв.м.</t>
  </si>
  <si>
    <t xml:space="preserve">(654,11руб./куб.м.+263,56/руб./куб.м./3)*12435/1000    </t>
  </si>
  <si>
    <t>3571,1в.м.*14,75руб./кв.м.*12мес.</t>
  </si>
  <si>
    <t>17,51руб./кв.м.*(3821,70+0)кв.м.</t>
  </si>
  <si>
    <t>3,051руб./кв.м.*(2759,90)кв.м.</t>
  </si>
  <si>
    <t>1,54руб./кв.м*(2759,90)кв.м.</t>
  </si>
  <si>
    <t xml:space="preserve">(1642,10ч/час/12*6*100,2134руб./час.+(1642,106/12*6*104,2268руб./час)+(1642,106ч/час/12*6*100,2134руб./час.+(1642,106/12*6*104,2268руб./час)/1,302*25% </t>
  </si>
  <si>
    <t xml:space="preserve">(516,02ч/час/12*6*100,2134руб./час.+(516,02/12*6*104,2268руб./час)+(516,02ч/час/12*6*100,2134руб./час.+(516,02/12*6*104,2268руб./час)/1,302*25% </t>
  </si>
  <si>
    <t>(0,30чел.(уб.л/пл.)*9921,13*6мес.)+(0,30*10317,11*6 мес.)</t>
  </si>
  <si>
    <t>15,92руб./кв.м.*1139кв.м</t>
  </si>
  <si>
    <t>17,51руб./кв.м.*(3563,40+0)кв.м.</t>
  </si>
  <si>
    <t xml:space="preserve">10,77ч/час*(100,2134руб./час.*6мес.)+(10,77*104,2268руб./час*6мес.)+(1,71руб./м.кв.*(3563,40+0)кв.м.*12мес.) </t>
  </si>
  <si>
    <t xml:space="preserve">(654,11руб./куб.м.+263,56/руб./куб.м./3)*14103/1000    </t>
  </si>
  <si>
    <t xml:space="preserve">(515,78ч/час/12*6*100,2134руб./час.+(515,78/12*6*104,2268руб./час)+(515,78ч/час/12*6*100,2134руб./час.+(515,78/12*6*104,2268руб./час)/1,302*25% </t>
  </si>
  <si>
    <t>3,051руб./кв.м.*(3563,40+0)кв.м.</t>
  </si>
  <si>
    <t>1,54руб./кв.м*(3563,40+0)кв.м.</t>
  </si>
  <si>
    <t>316,93ру.*12мес.</t>
  </si>
  <si>
    <t>4915,8в.м.*13,82руб./кв.м.*12мес.</t>
  </si>
  <si>
    <t>3563,4в.м.*13,11руб./кв.м.*12мес.</t>
  </si>
  <si>
    <t xml:space="preserve">0,87чел.*(3708руб.+200руб.))*1,5*1,15*1,083*1,302*6мес.)+0,87*(3856руб.+200руб.))*1,5*1,15*1,083*1,302*6мес.)+0,104руб./кв.м.асф.покр.*1926,50кв.м.)*12 мес. </t>
  </si>
  <si>
    <t>(1,52чел.(уб.л/пл.)*9921,13*6мес.)+(1,52*10317,11*6 мес.)</t>
  </si>
  <si>
    <t>(1чел.*9921,13*6мес.)+(1ел.*10317,11*6мес.)+(144квартир*10,41812руб/кв*12мес.)</t>
  </si>
  <si>
    <t>144вент.*(16,06 руб.+16,70 руб.)</t>
  </si>
  <si>
    <t>0,25 руб./мес.*867,90кв.м.*12мес.</t>
  </si>
  <si>
    <t>2,34руб./мес.*867,90кв.м.*4 раза</t>
  </si>
  <si>
    <t xml:space="preserve">30,43ч/час*(100,2134руб./час.*6мес.)+(30,43*104,2268руб./час*6мес.)+(1,71руб./м.кв.*(4915,80+0)кв.м.*12мес.) </t>
  </si>
  <si>
    <t>17,51руб./кв.м.*(4915,80+0)кв.м.</t>
  </si>
  <si>
    <t>3,051руб./кв.м.*(4915,80+0)кв.м.</t>
  </si>
  <si>
    <t>1,54руб./кв.м*(4915,80+0)кв.м.</t>
  </si>
  <si>
    <t xml:space="preserve">(654,11руб./куб.м.+263,56/руб./куб.м./3)*27733/1000    </t>
  </si>
  <si>
    <t xml:space="preserve">(632,04ч/час/12*6*100,2134руб./час.+(632,046/12*6*104,2268руб./час)+(632,046ч/час/12*6*100,2134руб./час.+(632,046/12*6*104,2268руб./час)/1,302*25% </t>
  </si>
  <si>
    <t>355,89ру.*12мес.</t>
  </si>
  <si>
    <t xml:space="preserve">0,49чел.*(3708руб.+200руб.))*1,5*1,15*1,083*1,302*6мес.)+0,49*(3856руб.+200руб.))*1,5*1,15*1,083*1,302*6мес.)+0,104руб./кв.м.асф.покр.*2184,80кв.м.)*12 мес. </t>
  </si>
  <si>
    <t>(0чел.*9921,13*6мес.)+(0ел.*10317,11*6мес.)+(66квартир*10,41812руб/кв*12мес.)</t>
  </si>
  <si>
    <t>66вент.*(16,06 руб.+16,70 руб.)</t>
  </si>
  <si>
    <t>0,25 руб./мес.*318,50кв.м.*12мес.</t>
  </si>
  <si>
    <t>2,34руб./мес.*318,50кв.м.*4 раза</t>
  </si>
  <si>
    <t xml:space="preserve">8,55ч/час*(100,2134руб./час.*6мес.)+(8,55*104,2268руб./час*6мес.)+(1,71руб./м.кв.*(2948,60+524,80)кв.м.*12мес.) </t>
  </si>
  <si>
    <t>17,51руб./кв.м.*(2948,60+524,80)кв.м.</t>
  </si>
  <si>
    <t>3,051руб./кв.м.*(2948,60+524,80)кв.м.</t>
  </si>
  <si>
    <t>1,54руб./кв.м*(2948,60+524,80)кв.м.</t>
  </si>
  <si>
    <t xml:space="preserve">(654,11руб./куб.м.+263,56/руб./куб.м./3)*13313/1000    </t>
  </si>
  <si>
    <t xml:space="preserve">(436,99ч/час/12*6*100,2134руб./час.+(436,996/12*6*104,2268руб./час)+(436,996ч/час/12*6*100,2134руб./час.+(436,996/12*6*104,2268руб./час)/1,302*25% </t>
  </si>
  <si>
    <t>229,57руб/мес.*12мес.</t>
  </si>
  <si>
    <t>2948,6кв.м.*13,37руб./кв.м.*12мес.</t>
  </si>
  <si>
    <t>12,1кв.м.*13,37руб.*12мес.</t>
  </si>
  <si>
    <t>123,1кв.м.*13,37руб.*12мес.</t>
  </si>
  <si>
    <t>27,7кв.м.*13,37руб.*12мес.</t>
  </si>
  <si>
    <t>361,9кв.м.*13,37руб.*12мес.</t>
  </si>
  <si>
    <t>243,36руб/мес.*12мес.</t>
  </si>
  <si>
    <t xml:space="preserve">0,92чел.*(3708руб.+200руб.))*1,5*1,15*1,083*1,302*6мес.)+0,92*(3856руб.+200руб.))*1,5*1,15*1,083*1,302*6мес.)+0,104руб./кв.м.асф.покр.*1180,20кв.м.)*12 мес. </t>
  </si>
  <si>
    <t>(0чел.*9921,13*6мес.)+(0ел.*10317,11*6мес.)+(60квартир*10,41812руб/кв*12мес.)</t>
  </si>
  <si>
    <t>60вент.*(16,06 руб.+16,70 руб.)</t>
  </si>
  <si>
    <t>0,25 руб./мес.*643,20кв.м.*12мес.</t>
  </si>
  <si>
    <t>2,34руб./мес.*643,20кв.м.*4 раза</t>
  </si>
  <si>
    <t xml:space="preserve">8,57ч/час*(100,2134руб./час.*6мес.)+(8,57*104,2268руб./час*6мес.)+(1,71руб./м.кв.*(2579,10+0)кв.м.*12мес.) </t>
  </si>
  <si>
    <t>17,51руб./кв.м.*(2579,10+0)кв.м.</t>
  </si>
  <si>
    <t>3,051руб./кв.м.*(2579,10+0)кв.м.</t>
  </si>
  <si>
    <t>1,54руб./кв.м*(2579,10+0)кв.м.</t>
  </si>
  <si>
    <t xml:space="preserve">(654,11руб./куб.м.+263,56/руб./куб.м./3)*8788/1000    </t>
  </si>
  <si>
    <t xml:space="preserve">(379,91ч/час/12*6*100,2134руб./час.+(379,916/12*6*104,2268руб./час)+(379,916ч/час/12*6*100,2134руб./час.+(379,916/12*6*104,2268руб./час)/1,302*25% </t>
  </si>
  <si>
    <t>394,23руб/мес.*12мес.</t>
  </si>
  <si>
    <t>(0чел.*9921,13*6мес.)+(0ел.*10317,11*6мес.)+(64квартир*10,41812руб/кв*12мес.)</t>
  </si>
  <si>
    <t>64вент.*(16,06 руб.+16,70 руб.)</t>
  </si>
  <si>
    <t xml:space="preserve">0,69чел.*(3708руб.+200руб.))*1,5*1,15*1,083*1,302*6мес.)+0,69*(3856руб.+200руб.))*1,5*1,15*1,083*1,302*6мес.)+0,104руб./кв.м.асф.покр.*1381,40в.м.)*12 мес. </t>
  </si>
  <si>
    <t xml:space="preserve">(654,11руб./куб.м.+263,56/руб./куб.м./3)*12852/1000    </t>
  </si>
  <si>
    <t xml:space="preserve">6,84ч/час*(100,2134руб./час.*6мес.)+(6,84*104,2268руб./час*6мес.)+(1,71руб./м.кв.*(2852,70+747,10)кв.м.*12мес.) </t>
  </si>
  <si>
    <t>17,51руб./кв.м.*(2852,70+747,10)кв.м.</t>
  </si>
  <si>
    <t>3,051руб./кв.м.*(2852,70+747,10)кв.м.</t>
  </si>
  <si>
    <t>1,54руб./кв.м*(2852,70+747,10)кв.м.</t>
  </si>
  <si>
    <t xml:space="preserve">(421,91ч/час/12*6*100,2134руб./час.+(421,916/12*6*104,2268руб./час)+(421,916ч/час/12*6*100,2134руб./час.+(421,916/12*6*104,2268руб./час)/1,302*25% </t>
  </si>
  <si>
    <t xml:space="preserve">Смета доходов  и расходов на содержание и текущий ремонт общедомового имущества дома №77, ул.Вологодская </t>
  </si>
  <si>
    <t>1) АО "Тандер" (291,4кв.м.)</t>
  </si>
  <si>
    <t>3) ООО "Идель" (283,2кв.м.)</t>
  </si>
  <si>
    <t>2,34руб./мес.*800кв.м.*4 раза</t>
  </si>
  <si>
    <t>Итого стоимость услуг/(2868,8+1361,3)кв.м./12мес.</t>
  </si>
  <si>
    <t>2868,8кв.м.*13,50руб./кв.м.*12мес.</t>
  </si>
  <si>
    <t>291,4кв.м.*13,50руб.*12мес.</t>
  </si>
  <si>
    <t>786,7кв.м.*13,50руб.*12мес.</t>
  </si>
  <si>
    <t>283,2кв.м.*13,50руб.*12мес.</t>
  </si>
  <si>
    <t>351,60руб/мес.*12мес.</t>
  </si>
  <si>
    <t xml:space="preserve">1,45чел.*(3708руб.+200руб.))*1,5*1,15*1,083*1,302*6мес.)+1,45*(3856руб.+200руб.))*1,5*1,15*1,083*1,302*6мес.)+0,104руб./кв.м.асф.покр.*2324,20в.м.)*12 мес. </t>
  </si>
  <si>
    <t>0,25 руб./мес.*800кв.м.*12мес.</t>
  </si>
  <si>
    <t xml:space="preserve">9,99ч/час*(100,2134руб./час.*6мес.)+(9,99*104,2268руб./час*6мес.)+(1,71руб./м.кв.*(2868,80+1361,30)кв.м.*12мес.) </t>
  </si>
  <si>
    <t>17,51руб./кв.м.*(2868,80+1361,30)кв.м.</t>
  </si>
  <si>
    <t>3,051руб./кв.м.*(2868,80+1361,30)кв.м.</t>
  </si>
  <si>
    <t>1,54руб./кв.м*(2868,80+1361,30)кв.м.</t>
  </si>
  <si>
    <t xml:space="preserve">(654,11руб./куб.м.+263,56/руб./куб.м./3)*14188/1000    </t>
  </si>
  <si>
    <t xml:space="preserve">(422,22ч/час/12*6*100,2134руб./час.+(422,226/12*6*104,2268руб./час)+(422,226ч/час/12*6*100,2134руб./час.+(422,226/12*6*104,2268руб./час)/1,302*25% </t>
  </si>
  <si>
    <t>Смета доходов  и расходов на содержание и текущий ремонт общедомового имущества дома №81/1, ул.Вологодская</t>
  </si>
  <si>
    <t>Итого стоимость услуг/(3798,8+0)кв.м./12мес.</t>
  </si>
  <si>
    <t>3798,8кв.м.*22,71руб./кв.м.*12мес.</t>
  </si>
  <si>
    <t xml:space="preserve">0,76чел.*(3708руб.+200руб.))*1,5*1,15*1,083*1,302*6мес.)+0,76*(3856руб.+200руб.))*1,5*1,15*1,083*1,302*6мес.)+0,104руб./кв.м.асф.покр.*1082,70кв.м.)*12 мес. </t>
  </si>
  <si>
    <t>(2,48чел.(уб.л/пл.)*9921,13*6мес.)+(2,48*10317,11*6 мес.)</t>
  </si>
  <si>
    <t>0,25 руб./мес.*602кв.м.*12мес.</t>
  </si>
  <si>
    <t>2,34руб./мес.*602кв.м.*4 раза</t>
  </si>
  <si>
    <t xml:space="preserve">9,37ч/час*(100,2134руб./час.*6мес.)+(9,37*104,2268руб./час*6мес.)+(1,71руб./м.кв.*(3798,80+0)кв.м.*12мес.) </t>
  </si>
  <si>
    <t>17,51руб./кв.м.*(3798,80+0)кв.м.</t>
  </si>
  <si>
    <t>3,051руб./кв.м.*(3798,80+0)кв.м.</t>
  </si>
  <si>
    <t>1,54руб./кв.м*(3798,80+0)кв.м.</t>
  </si>
  <si>
    <t xml:space="preserve">(654,11руб./куб.м.+263,56/руб./куб.м./3)*15101/1000    </t>
  </si>
  <si>
    <t xml:space="preserve">(482,11ч/час/12*6*100,2134руб./час.+(482,116/12*6*104,2268руб./час)+(482,116ч/час/12*6*100,2134руб./час.+(482,116/12*6*104,2268руб./час)/1,302*25% </t>
  </si>
  <si>
    <t>3816,2кв.м.*22,29руб./кв.м.*12мес.</t>
  </si>
  <si>
    <t xml:space="preserve">0,74чел.*(3708руб.+200руб.))*1,5*1,15*1,083*1,302*6мес.)+0,74*(3856руб.+200руб.))*1,5*1,15*1,083*1,302*6мес.)+0,104руб./кв.м.асф.покр.*1100,10кв.м.)*12 мес. </t>
  </si>
  <si>
    <t>(0,53чел.(уб.л/пл.)*9921,13*6мес.)+(0,53*10317,11*6 мес.)</t>
  </si>
  <si>
    <t>0,25 руб./мес.*481,50кв.м.*12мес.</t>
  </si>
  <si>
    <t>2,34руб./мес.*481,50кв.м.*4 раза</t>
  </si>
  <si>
    <t xml:space="preserve">8,85ч/час*(100,2134руб./час.*6мес.)+(8,85104,2268руб./час*6мес.)+(1,71руб./м.кв.*(3816,20+0)кв.м.*12мес.) </t>
  </si>
  <si>
    <t>17,51руб./кв.м.*(3816,20+0)кв.м.</t>
  </si>
  <si>
    <t xml:space="preserve">(654,11руб./куб.м.+263,56/руб./куб.м./3)*16275/1000    </t>
  </si>
  <si>
    <t xml:space="preserve">(477,69ч/час/12*6*100,2134руб./час.+(477,696/12*6*104,2268руб./час)+(477,696ч/час/12*6*100,2134руб./час.+(477,696/12*6*104,2268руб./час)/1,302*25% </t>
  </si>
  <si>
    <t>3,051руб./кв.м.*(3816,20+0)кв.м.</t>
  </si>
  <si>
    <t>1,54руб./кв.м*(3816,20+0)кв.м.</t>
  </si>
  <si>
    <t>315,72руб.*12мес.</t>
  </si>
  <si>
    <t>295,66руб.*12мес.</t>
  </si>
  <si>
    <t>Смета доходов  и расходов на содержание и текущий ремонт общедомового имущества дома №201/2, ул.Кольцевая</t>
  </si>
  <si>
    <t>3419,4кв.м.*18,57руб.*12 мес.</t>
  </si>
  <si>
    <t>Проживающих</t>
  </si>
  <si>
    <t xml:space="preserve">0,61чел.*(3708руб.+200руб.))*1,5*1,15*1,083*1,302*6мес.)+0,61*(3856руб.+200руб.))*1,5*1,15*1,083*1,302*6мес.)+0,104руб./кв.м.асф.покр.*519,10кв.м.)*12 мес. </t>
  </si>
  <si>
    <t>Вентканалы</t>
  </si>
  <si>
    <t>0,44чел.*(9921,13*6мес.)+(0,44*10317,11*6мес.)</t>
  </si>
  <si>
    <t>(0,50чел.*9921,13*6мес.)+(0,50чел.*10317,11*6мес.)+(72вартир*10,95538руб/кв*12мес.)*к-во мус-ов</t>
  </si>
  <si>
    <t>72вент.*(16,06руб.+16,70руб.)</t>
  </si>
  <si>
    <t>0,25 руб./мес.*452кв.м.*12 мес.</t>
  </si>
  <si>
    <t>2,34руб./мес.*452кв.м.*4 раза</t>
  </si>
  <si>
    <t>635,59руб./мес.*6 мес.+661,01руб./мес.*6мес.*1УУТЭ</t>
  </si>
  <si>
    <t>466,10руб./мес.*6 мес.+484,74руб./мес.*6мес.*1УАР</t>
  </si>
  <si>
    <t>3750,0руб.*12мес.*2лифта</t>
  </si>
  <si>
    <t>0руб.*12мес.</t>
  </si>
  <si>
    <t xml:space="preserve">8,84ч/час*(100,2134руб./час.*6мес.)+8,84*104,2268руб./час*6мес.)+(1,71руб./м.кв.*(3846,90+0)кв.м.*12мес.) </t>
  </si>
  <si>
    <t>15,92руб./кв.м.*736кв.м</t>
  </si>
  <si>
    <t>17,51руб./кв.м.*(3846,90+0)кв.м.</t>
  </si>
  <si>
    <t xml:space="preserve">(654,11руб./куб.м.+263,56/руб./куб.м./3)*16884/1000    </t>
  </si>
  <si>
    <t xml:space="preserve">(489,39ч/час/12*6*100,2134руб./час.+(489,39/12*6*104,2268руб./час)+(489,39ч/час/12*6*100,2134руб./час.+(489,39/12*6*104,2268руб./час)/1,302*25% </t>
  </si>
  <si>
    <t>3,051руб./кв.м.*(3846,90+0)кв.м.</t>
  </si>
  <si>
    <t>1,54руб./кв.м*(3846,90+0)кв.м.</t>
  </si>
  <si>
    <t>Итого стоимость услуг/(3846,9+0)кв.м./12мес.</t>
  </si>
  <si>
    <t xml:space="preserve">** 0,132-коэффициент соотношения по Орджоникидзевскому району на 2019 год услуг по управлению и начислению платежей, исходя из фактических данных 2018 года. </t>
  </si>
  <si>
    <t xml:space="preserve">Смета доходов  и расходов на содержание и текущий ремонт общедомового имущества дома №201/1, ул.Кольцевая </t>
  </si>
  <si>
    <t>4326,1кв.м.*22,26руб./кв.м.*12мес.</t>
  </si>
  <si>
    <t xml:space="preserve">1,70чел.*(3708руб.+200руб.))*1,5*1,15*1,083*1,302*6мес.)+1,70*(3856руб.+200руб.))*1,5*1,15*1,083*1,302*6мес.)+0,104руб./кв.м.асф.покр.*1479,40кв.м.)*12 мес. </t>
  </si>
  <si>
    <t>0,62чел.*(9921,13*6мес.)+(0,62*10317,11*6мес.)</t>
  </si>
  <si>
    <t>(1,19чел.*9921,13*6мес.)+(1,19чел.*10317,11*6мес.)+(171вартир*10,95538руб/кв*12мес.)*к-во мус-ов</t>
  </si>
  <si>
    <t>171вент.*(16,06руб.+16,70руб.)</t>
  </si>
  <si>
    <t>0,25 руб./мес.*599,00кв.м.*12 мес.</t>
  </si>
  <si>
    <t>2,34руб./мес.*599,00кв.м.*4 раза</t>
  </si>
  <si>
    <t xml:space="preserve">8,69ч/час*(100,2134руб./час.*6мес.)+8,69*104,2268руб./час*6мес.)+(1,71руб./м.кв.*(4326,10+0)кв.м.*12мес.) </t>
  </si>
  <si>
    <t>15,92руб./кв.м.*795,30кв.м</t>
  </si>
  <si>
    <t>17,51руб./кв.м.*(4326,10+0)кв.м.</t>
  </si>
  <si>
    <t xml:space="preserve">(654,11руб./куб.м.+263,56/руб./куб.м./3)*17763,00/1000    </t>
  </si>
  <si>
    <t xml:space="preserve">(814,24ч/час/12*6*100,2134руб./час.+(814,24/12*6*104,2268руб./час)+(814,24ч/час/12*6*100,2134руб./час.+(814,24/12*6*104,2268руб./час)/1,302*25% </t>
  </si>
  <si>
    <t>3,051руб./кв.м.*(4326,10+0)кв.м.</t>
  </si>
  <si>
    <t>1,54руб./кв.м*(4326,10+0)кв.м.</t>
  </si>
  <si>
    <t>Итого стоимость услуг/(4326,10+0)кв.м./12мес.</t>
  </si>
  <si>
    <t>Начальника ПЭО                                                            Н.Л.Ганиев</t>
  </si>
  <si>
    <t>План работ на 2019г.согласно Постановлению Правительства РФ от 23 сентября 2010г. №731 п.11 пп.б</t>
  </si>
  <si>
    <t>7514,55кв.м.*19,88руб.*12мес.</t>
  </si>
  <si>
    <t>42кв.м.*19,88руб.*12мес.</t>
  </si>
  <si>
    <t>15,9кв.м.*19,88руб.*12мес.</t>
  </si>
  <si>
    <t>27,9кв.м.*19,88руб.*12мес.</t>
  </si>
  <si>
    <t xml:space="preserve">2,01чел.*(3708руб.+200руб.))*1,5*1,15*1,083*1,302*6мес.)+2,01*(3856руб.+200руб.))*1,5*1,15*1,083*1,302*6мес.)+0,104руб./кв.м.асф.покр.*1565,70кв.м.)*12 мес. </t>
  </si>
  <si>
    <t>0,53чел.*(9921,13*6мес.)+(0,53*10317,11*6мес.)</t>
  </si>
  <si>
    <t>0,25руб./мес.*452кв.м.*12 мес.</t>
  </si>
  <si>
    <t>3750руб./мес.*12мес.*2 лифта</t>
  </si>
  <si>
    <t>13973,00руб.*2лифта</t>
  </si>
  <si>
    <t xml:space="preserve">8,84ч/час*(100,2134руб./час.*6мес.)+8,84*104,2268руб./час*6мес.)+(1,71руб./м.кв.*(4326,10+0)кв.м.*12мес.) </t>
  </si>
  <si>
    <t>13,69руб./кв.м.*736кв.м</t>
  </si>
  <si>
    <t xml:space="preserve">(654,11руб./куб.м.+263,56/руб./куб.м./3)*30338,00/1000    </t>
  </si>
  <si>
    <t xml:space="preserve">(489,37ч/час/12*6*100,2134руб./час.+(489,37/12*6*104,2268руб./час)+(489,37ч/час/12*6*100,2134руб./час.+(489,37/12*6*104,2268руб./час)/1,302*25% </t>
  </si>
  <si>
    <t>3,051 руб./кв.м.*(7514,55+85,8)кв.м.</t>
  </si>
  <si>
    <t>1,54руб./кв.м*(7514,55+85,8)кв.м.</t>
  </si>
  <si>
    <t>Начальник ПЭО                                                            Н.Л.Ганиев</t>
  </si>
  <si>
    <t xml:space="preserve">0,53чел.*(3708руб.+200руб.))*1,5*1,15*1,083*1,302*6мес.)+0,53*(3856руб.+200руб.))*1,5*1,15*1,083*1,302*6мес.)+0,104руб./кв.м.асф.покр.*1480,3кв.м.)*12 мес. </t>
  </si>
  <si>
    <t>(0,50чел.*9921,13*6мес.)+(0,50чел.*10317,11*6мес.)+(72квартир*10,41812руб/кв*12мес.)</t>
  </si>
  <si>
    <t xml:space="preserve">(8,73ч/час*100,2134руб./час.*6мес.)+(8,73ч/час*104,2268руб./час*6мес.)+(1,71руб./м.кв.*(3826,40+0)кв.м.*12мес.) </t>
  </si>
  <si>
    <t>15,92руб./кв.м.*662кв.м.</t>
  </si>
  <si>
    <t>17,51руб.*(3826,40+0)кв.м.</t>
  </si>
  <si>
    <t xml:space="preserve">(654,11руб./куб.м.+263,56/руб./куб.м./3)*24052/1000    </t>
  </si>
  <si>
    <t xml:space="preserve">(478,41ч/час/12*6*100,2134руб./час.+(478,41/12*6*104,2268руб./час)+(478,41ч/час/12*6*100,2134руб./час.+(478,41/12*6*104,2268руб./час)/1,302*25% </t>
  </si>
  <si>
    <t>4343,4кв.м.*22,12руб./кв.м.*12мес.</t>
  </si>
  <si>
    <t xml:space="preserve">1,60чел.*(3708руб.+200руб.))*1,5*1,15*1,083*1,302*6мес.)+1,60*(3856руб.+200руб.))*1,5*1,15*1,083*1,302*6мес.)+0,104руб./кв.м.асф.покр.*1614кв.м.)*12 мес. </t>
  </si>
  <si>
    <t>(0,62чел.(уб.л/пл.)*9921,13*6мес.)+(0,62*10317,11*6 мес.)</t>
  </si>
  <si>
    <t>(1,19чел.*9921,13*6мес.)+(1,19чел.*10317,11*6мес.)+(171квартир*10,41812руб/кв*12мес.)</t>
  </si>
  <si>
    <t>171вент.*(16,06 руб.+16,70 руб.)</t>
  </si>
  <si>
    <t>0,25 руб./мес.*597кв.м.*12мес.</t>
  </si>
  <si>
    <t>2,34руб./мес.*597кв.м.*4 раза</t>
  </si>
  <si>
    <t xml:space="preserve">(8,65ч/час*100,2134руб./час.*6мес.)+(8,65ч/час*104,2268руб./час*6мес.)+(1,71руб./м.кв.*(4343,40+0)кв.м.*12мес.) </t>
  </si>
  <si>
    <t>17,51руб.*(4343,40+0)кв.м.</t>
  </si>
  <si>
    <t xml:space="preserve">(654,11руб./куб.м.+263,56/руб./куб.м./3)*17721/1000    </t>
  </si>
  <si>
    <t xml:space="preserve">(810,97ч/час/12*6*100,2134руб./час.+(810,97/12*6*104,2268руб./час)+(810,97ч/час/12*6*100,2134руб./час.+(810,97/12*6*104,2268руб./час)/1,302*25% </t>
  </si>
  <si>
    <t>3,051руб./кв.м.*(4343,40+0)кв.м.</t>
  </si>
  <si>
    <t>1,54руб./кв.м*(4343,40+0)кв.м.</t>
  </si>
  <si>
    <t xml:space="preserve">1,33чел.*(3708руб.+200руб.))*1,5*1,15*1,083*1,302*6мес.)+1,33*(3856руб.+200руб.))*1,5*1,15*1,083*1,302*6мес.)+0,104руб./кв.м.асф.покр.*1094,50кв.м.)*12 мес. </t>
  </si>
  <si>
    <t>0,79чел.*(9921,13*6мес.)+(0,79*10317,11*6мес.)</t>
  </si>
  <si>
    <t>(0,75чел.*9921,13*6мес.)+(0,75чел.*10317,11*6мес.)+(108вартир*10,95538руб/кв*12мес.)*к-во мус-ов</t>
  </si>
  <si>
    <t>108вент.*(16,06руб.+16,70руб.)</t>
  </si>
  <si>
    <t>0,25 руб./мес.*906кв.м.*12 мес.</t>
  </si>
  <si>
    <t>2,34руб./мес.*906кв.м.*4 раза</t>
  </si>
  <si>
    <t>3750,0руб.*12мес.*3лифта</t>
  </si>
  <si>
    <t xml:space="preserve">13,24ч/час*(100,2134руб./час.*6мес.)+13,24*104,2268руб./час*6мес.)+(1,71руб./м.кв.*(5724,40+0)кв.м.*12мес.) </t>
  </si>
  <si>
    <t>15,92руб./кв.м.*926кв.м</t>
  </si>
  <si>
    <t>17,51руб./кв.м.*(5724,40+0)кв.м.</t>
  </si>
  <si>
    <t xml:space="preserve">(654,11руб./куб.м.+263,56/руб./куб.м./3)*23433/1000    </t>
  </si>
  <si>
    <t xml:space="preserve">(714,13ч/час/12*6*100,2134руб./час.+(714,13/12*6*104,2268руб./час)+(714,13ч/час/12*6*100,2134руб./час.+(714,13/12*6*104,2268руб./час)/1,302*25% </t>
  </si>
  <si>
    <t>3,051руб./кв.м.*(5724,40+0)кв.м.</t>
  </si>
  <si>
    <t>1,54руб./кв.м*(5724,40+0)кв.м.</t>
  </si>
  <si>
    <t>5724,4кв.м.*22,06руб./кв.м.*12мес.</t>
  </si>
  <si>
    <t>4357,8кв.м.*22,08руб./кв.м.*12мес.</t>
  </si>
  <si>
    <t xml:space="preserve">1,17чел.*(3708руб.+200руб.))*1,5*1,15*1,083*1,302*6мес.)+1,17*(3856руб.+200руб.))*1,5*1,15*1,083*1,302*6мес.)+0,104руб./кв.м.асф.покр.*1461,50кв.м.)*12 мес. </t>
  </si>
  <si>
    <t>0,25 руб./мес.*684кв.м.*12 мес.</t>
  </si>
  <si>
    <t>2,34руб./мес.*684кв.м.*4 раза</t>
  </si>
  <si>
    <t>3750,0руб.*12мес.*1лифта</t>
  </si>
  <si>
    <t>4190руб.*1лифта</t>
  </si>
  <si>
    <t xml:space="preserve">9ч/час*(100,2134руб./час.*6мес.)+9*104,2268руб./час*6мес.)+(1,71руб./м.кв.*(4357,80+0)кв.м.*12мес.) </t>
  </si>
  <si>
    <t>15,92руб./кв.м.*713кв.м</t>
  </si>
  <si>
    <t>17,51руб./кв.м.*(4357,80+0)кв.м.</t>
  </si>
  <si>
    <t xml:space="preserve">(654,11руб./куб.м.+263,56/руб./куб.м./3)*17978/1000    </t>
  </si>
  <si>
    <t xml:space="preserve">(810,42ч/час/12*6*100,2134руб./час.+(810,42/12*6*104,2268руб./час)+(810,42ч/час/12*6*100,2134руб./час.+(810,42/12*6*104,2268руб./час)/1,302*25% </t>
  </si>
  <si>
    <t>3,051руб./кв.м.*(4357,80+0)кв.м.</t>
  </si>
  <si>
    <t>1,54руб./кв.м*(4357,80+0)кв.м.</t>
  </si>
  <si>
    <t xml:space="preserve">0,71чел.*(3708руб.+200руб.))*1,5*1,15*1,083*1,302*6мес.)+0,71*(3856руб.+200руб.))*1,5*1,15*1,083*1,302*6мес.)+0,104руб./кв.м.асф.покр.*1374,30кв.м.)*12 мес. </t>
  </si>
  <si>
    <t>(0,63чел.*9921,13*6мес.)+(0,63чел.*10317,11*6мес.)+(72вартир*10,95538руб/кв*12мес.)*к-во мус-ов</t>
  </si>
  <si>
    <t>0,25 руб./мес.*452,20кв.м.*12 мес.</t>
  </si>
  <si>
    <t>2,34руб./мес.*452,20кв.м.*4 раза</t>
  </si>
  <si>
    <t xml:space="preserve">8,74ч/час*(100,2134руб./час.*6мес.)+8,74*104,2268руб./час*6мес.)+(1,71руб./м.кв.*(3823,20+0)кв.м.*12мес.) </t>
  </si>
  <si>
    <t>15,92руб./кв.м.*662кв.м</t>
  </si>
  <si>
    <t>17,51руб./кв.м.*(3823,20+0)кв.м.</t>
  </si>
  <si>
    <t xml:space="preserve">(654,11руб./куб.м.+263,56/руб./куб.м./3)*18884/1000    </t>
  </si>
  <si>
    <t xml:space="preserve">(878,61ч/час/12*6*100,2134руб./час.+(878,61/12*6*104,2268руб./час)+(878,61ч/час/12*6*100,2134руб./час.+(878,61/12*6*104,2268руб./час)/1,302*25% </t>
  </si>
  <si>
    <t>3,051руб./кв.м.*(3823,20+0)кв.м.</t>
  </si>
  <si>
    <t>1,54руб./кв.м*(3823,20+0)кв.м.</t>
  </si>
  <si>
    <t>3823,2кв.м.*22,69руб.*12мес.</t>
  </si>
  <si>
    <t>315,28руб/мес.*12мес.</t>
  </si>
  <si>
    <t>2585,4кв.м.*13,24руб./кв.м.*12мес.</t>
  </si>
  <si>
    <t>36,6кв.м.*13,24руб.*12мес.</t>
  </si>
  <si>
    <t>62,9в.м.*13,24руб.*12мес.</t>
  </si>
  <si>
    <t xml:space="preserve">0,99чел.*(3708руб.+200руб.))*1,5*1,15*1,083*1,302*6мес.)+0,99*(3856руб.+200руб.))*1,5*1,15*1,083*1,302*6мес.)+0,104руб./кв.м.асф.покр.*1020,60в.м.)*12 мес. </t>
  </si>
  <si>
    <t>0,25 руб./мес.*643,10кв.м.*12мес.</t>
  </si>
  <si>
    <t>2,34руб./мес.*643,10кв.м.*4 раза</t>
  </si>
  <si>
    <t xml:space="preserve">8,53ч/час*(100,2134руб./час.*6мес.)+(8,53*104,2268руб./час*6мес.)+(1,71руб./м.кв.*(2585,40+99,50)кв.м.*12мес.) </t>
  </si>
  <si>
    <t>17,51руб./кв.м.*(2585,40+99,50)кв.м.</t>
  </si>
  <si>
    <t xml:space="preserve">(654,11руб./куб.м.+263,56/руб./куб.м./3)*9600/1000    </t>
  </si>
  <si>
    <t xml:space="preserve">(374,35ч/час/12*6*100,2134руб./час.+(374,356/12*6*104,2268руб./час)+(374,356ч/час/12*6*100,2134руб./час.+(374,356/12*6*104,2268руб./час)/1,302*25% </t>
  </si>
  <si>
    <t>1) УЗНО(36,6кв.м.)</t>
  </si>
  <si>
    <t>2) УЗНО (62,9кв.м.)</t>
  </si>
  <si>
    <t>2) Гастроном (786,7кв.м.)</t>
  </si>
  <si>
    <t>ОАО "Магазин №70" (451,3 кв.м)</t>
  </si>
  <si>
    <t>850,13руб/мес.*12мес.</t>
  </si>
  <si>
    <t>2866,9кв.м.*12,13руб./кв.м.*12мес.</t>
  </si>
  <si>
    <t>1410,9кв.м.*12,13руб.*12мес.</t>
  </si>
  <si>
    <t>75,7кв.м.*12,13руб.*12мес.</t>
  </si>
  <si>
    <t xml:space="preserve">0,68чел.*(3708руб.+200руб.))*1,5*1,15*1,083*1,302*6мес.)+0,68*(3856руб.+200руб.))*1,5*1,15*1,083*1,302*6мес.)+0,104руб./кв.м.асф.покр.*2553,50в.м.)*12 мес. </t>
  </si>
  <si>
    <t>0,25 руб./мес.*768,60кв.м.*12мес.</t>
  </si>
  <si>
    <t>2,34руб./мес.*768,60кв.м.*4 раза</t>
  </si>
  <si>
    <t xml:space="preserve">9,83ч/час*(100,2134руб./час.*6мес.)+(9,83*104,2268руб./час*6мес.)+(1,71руб./м.кв.*(2866,90+1486,60)кв.м.*12мес.) </t>
  </si>
  <si>
    <t>3,051руб./кв.м.*(2585,40+99,50)кв.м.</t>
  </si>
  <si>
    <t>1,54руб./кв.м*(2585,40+99,50)кв.м.</t>
  </si>
  <si>
    <t>17,51руб./кв.м.*(2866,90+1486,60)кв.м.</t>
  </si>
  <si>
    <t>3,051руб./кв.м.*(2866,90+1486,60)кв.м.</t>
  </si>
  <si>
    <t>1,54руб./кв.м*(2866,90+1486,60)кв.м.</t>
  </si>
  <si>
    <t xml:space="preserve">(654,11руб./куб.м.+263,56/руб./куб.м./3)*13524/1000    </t>
  </si>
  <si>
    <t xml:space="preserve">(416,79ч/час/12*6*100,2134руб./час.+(416,796/12*6*104,2268руб./час)+(416,796ч/час/12*6*100,2134руб./час.+(416,796/12*6*104,2268руб./час)/1,302*25% </t>
  </si>
  <si>
    <t>15,92руб./кв.м.*836кв.м</t>
  </si>
  <si>
    <t>15,92руб./кв.м.*1149кв.м</t>
  </si>
  <si>
    <t xml:space="preserve">1,25чел.*(3708руб.+200руб.))*1,5*1,15*1,083*1,302*6мес.)+1,25*(3856руб.+200руб.))*1,5*1,15*1,083*1,302*6мес.)+0,104руб./кв.м.асф.покр.*1348в.м.)*12 мес. </t>
  </si>
  <si>
    <t>0,25 руб./мес.*642,40кв.м.*12мес.</t>
  </si>
  <si>
    <t>2,34руб./мес.*642,40кв.м.*4 раза</t>
  </si>
  <si>
    <t>244,88руб/мес.*12мес.</t>
  </si>
  <si>
    <t xml:space="preserve">10,74ч/час*(100,2134руб./час.*6мес.)+(10,74*104,2268руб./час*6мес.)+(1,71руб./м.кв.*(2595,20+0)кв.м.*12мес.) </t>
  </si>
  <si>
    <t>15,92руб./кв.м.*835,10кв.м</t>
  </si>
  <si>
    <t>17,51руб./кв.м.*(2595,20+0)кв.м.</t>
  </si>
  <si>
    <t xml:space="preserve">(654,11руб./куб.м.+263,56/руб./куб.м./3)*9154/1000    </t>
  </si>
  <si>
    <t xml:space="preserve">(374,86ч/час/12*6*100,2134руб./час.+(374,866/12*6*104,2268руб./час)+(374,866ч/час/12*6*100,2134руб./час.+(374,866/12*6*104,2268руб./час)/1,302*25% </t>
  </si>
  <si>
    <t>3,051руб./кв.м.*(2595,20+0)кв.м.</t>
  </si>
  <si>
    <t>1,54руб./кв.м*(2595,20+0)кв.м.</t>
  </si>
  <si>
    <t>2595,2кв.м.*11,91руб./кв.м.*12мес.</t>
  </si>
  <si>
    <t>407,05руб/мес.*12мес.</t>
  </si>
  <si>
    <t>3507,1кв.м.*13,65руб./кв.м.*12мес.</t>
  </si>
  <si>
    <t>330,2кв.м.*13,65руб.*12мес.</t>
  </si>
  <si>
    <t>43,4кв.м.*13,65руб.*12мес.</t>
  </si>
  <si>
    <t>433,2кв.м.*13,65руб.*12мес.</t>
  </si>
  <si>
    <t xml:space="preserve">1,16чел.*(3708руб.+200руб.))*1,5*1,15*1,083*1,302*6мес.)+1,16*(3856руб.+200руб.))*1,5*1,15*1,083*1,302*6мес.)+0,104руб./кв.м.асф.покр.*1468,40в.м.)*12 мес. </t>
  </si>
  <si>
    <t>(0чел.*9921,13*6мес.)+(0ел.*10317,11*6мес.)+(79квартир*10,41812руб/кв*12мес.)</t>
  </si>
  <si>
    <t>79вент.*(16,06 руб.+16,70 руб.)</t>
  </si>
  <si>
    <t>0,25 руб./мес.*325,20кв.м.*12мес.</t>
  </si>
  <si>
    <t>2,34руб./мес.*325,20кв.м.*4 раза</t>
  </si>
  <si>
    <t xml:space="preserve">8,44ч/час*(100,2134руб./час.*6мес.)+(8,44*104,2268руб./час*6мес.)+(1,71руб./м.кв.*(3507,10+806,80)кв.м.*12мес.) </t>
  </si>
  <si>
    <t>17,51руб./кв.м.*(3507,10+806,80)кв.м.</t>
  </si>
  <si>
    <t>3,051руб./кв.м.*(3507,10+806,80)кв.м.</t>
  </si>
  <si>
    <t>1,54руб./кв.м*(3507,10+806,80)кв.м.</t>
  </si>
  <si>
    <t>15,92руб./кв.м.*970кв.м</t>
  </si>
  <si>
    <t xml:space="preserve">(654,11руб./куб.м.+263,56/руб./куб.м./3)*14792/1000    </t>
  </si>
  <si>
    <t xml:space="preserve">(502,29ч/час/12*6*100,2134руб./час.+(502,296/12*6*104,2268руб./час)+(502,296ч/час/12*6*100,2134руб./час.+(502,296/12*6*104,2268руб./час)/1,302*25% </t>
  </si>
  <si>
    <t>(9406,6кв.м.*22,97руб./кв.м.*12мес.)+(2363,7кв.м.*16,91руб./кв.м.*12мес.)</t>
  </si>
  <si>
    <t>132,7кв.м.*22,97руб.*12мес.</t>
  </si>
  <si>
    <t>183,2кв.м.*22,97руб.*12мес.</t>
  </si>
  <si>
    <t>149,1кв.м.*22,97руб.*12мес.</t>
  </si>
  <si>
    <t>1965,47руб.*12мес.</t>
  </si>
  <si>
    <t>(1,48чел.*9921,13*6мес.)+(1,48чел.*10317,11*6мес.)+(213вартир*10,95538руб/кв*12мес.)*к-во мус-ов</t>
  </si>
  <si>
    <t>213вент.*(16,06руб.+16,70руб.)</t>
  </si>
  <si>
    <t xml:space="preserve">25,83ч/час*(100,2134руб./час.*6мес.)+25,83*104,2268руб./час*6мес.)+(1,71руб./м.кв.*(11770,30+465,00)кв.м.*12мес.) </t>
  </si>
  <si>
    <t>15,92руб./кв.м.*2198,20кв.м</t>
  </si>
  <si>
    <t>17,51руб./кв.м.*(11770,30+465,00)кв.м.</t>
  </si>
  <si>
    <t>3,051руб./кв.м.*(11770,30+465,00)кв.м.</t>
  </si>
  <si>
    <t>1,54руб./кв.м*(11770,30+465,00)кв.м.</t>
  </si>
  <si>
    <t xml:space="preserve">(654,11руб./куб.м.+263,56/руб./куб.м./3)*60524/1000    </t>
  </si>
  <si>
    <t xml:space="preserve">(1329,86ч/час/12*6*100,2134руб./час.+(1329,86/12*6*104,2268руб./час)+(1329,86ч/час/12*6*100,2134руб./час.+(1329,86/12*6*104,2268руб./час)/1,302*25% </t>
  </si>
  <si>
    <t xml:space="preserve">2,51чел.*(3708руб.+200руб.))*1,5*1,15*1,083*1,302*6мес.)+2,51*(3856руб.+200руб.))*1,5*1,15*1,083*1,302*6мес.)+0,104руб./кв.м.асф.покр.*5298,8кв.м.)*12 мес. </t>
  </si>
  <si>
    <t>2,16чел.*(9921,13*6мес.)+(2,16*10317,11*6мес.)</t>
  </si>
  <si>
    <t>3559кв.м.*13,25руб./кв.м.*12мес.</t>
  </si>
  <si>
    <t xml:space="preserve">1,03чел.*(3708руб.+200руб.))*1,5*1,15*1,083*1,302*6мес.)+1,03*(3856руб.+200руб.))*1,5*1,15*1,083*1,302*6мес.)+0,104руб./кв.м.асф.покр.*933в.м.)*12 мес. </t>
  </si>
  <si>
    <t>0,25 руб./мес.*732,40кв.м.*12мес.</t>
  </si>
  <si>
    <t>2,34руб./мес.*732,40кв.м.*4 раза</t>
  </si>
  <si>
    <t>0,25 руб./мес.*1302,10кв.м.*12 мес.</t>
  </si>
  <si>
    <t>2,34руб./мес.*1302,10кв.м.*4 раза</t>
  </si>
  <si>
    <t xml:space="preserve">10,06ч/час*(100,2134руб./час.*6мес.)+(10,06*104,2268руб./час*6мес.)+(1,71руб./м.кв.*(3559,00+0)кв.м.*12мес.) </t>
  </si>
  <si>
    <t>17,51руб./кв.м.*(3559,00+0)кв.м.</t>
  </si>
  <si>
    <t>3,051 руб./кв.м.*(3559,00+0)кв.м.</t>
  </si>
  <si>
    <t>1,54руб./кв.м*(3559,00+0)кв.м.</t>
  </si>
  <si>
    <t>15,92руб./кв.м.*878кв.м</t>
  </si>
  <si>
    <t xml:space="preserve">(654,11руб./куб.м.+263,56/руб./куб.м./3)*14262/1000    </t>
  </si>
  <si>
    <t xml:space="preserve">(504,59ч/час/12*6*100,2134руб./час.+(504,596/12*6*104,2268руб./час)+(504,596ч/час/12*6*100,2134руб./час.+(504,596/12*6*104,2268руб./час)/1,302*25% </t>
  </si>
  <si>
    <t xml:space="preserve">0,79чел.*(3708руб.+200руб.))*1,5*1,15*1,083*1,302*6мес.)+0,79*(3856руб.+200руб.))*1,5*1,15*1,083*1,302*6мес.)+0,104руб./кв.м.асф.покр.*936в.м.)*12 мес. </t>
  </si>
  <si>
    <t>0,25 руб./мес.*708,60кв.м.*12мес.</t>
  </si>
  <si>
    <t>2,34руб./мес.*708,60кв.м.*4 раза</t>
  </si>
  <si>
    <t>295,34руб/мес.*12мес.</t>
  </si>
  <si>
    <t>294,52руб/мес.*12мес.</t>
  </si>
  <si>
    <t xml:space="preserve">9,98ч/час*(100,2134руб./час.*6мес.)+(9,98*104,2268руб./час*6мес.)+(1,71руб./м.кв.*(3569,30+0)кв.м.*12мес.) </t>
  </si>
  <si>
    <t>15,92руб./кв.м.*877кв.м</t>
  </si>
  <si>
    <t>17,51руб./кв.м.*(3569,30+0)кв.м.</t>
  </si>
  <si>
    <t>3,051 руб./кв.м.*(3569,30+0)кв.м.</t>
  </si>
  <si>
    <t>1,54руб./кв.м*(3569,30+0)кв.м.</t>
  </si>
  <si>
    <t xml:space="preserve">(505,19ч/час/12*6*100,2134руб./час.+(505,196/12*6*104,2268руб./час)+(505,196ч/час/12*6*100,2134руб./час.+(505,196/12*6*104,2268руб./час)/1,302*25% </t>
  </si>
  <si>
    <t xml:space="preserve">(654,11руб./куб.м.+263,56/руб./куб.м./3)*14796/1000    </t>
  </si>
  <si>
    <t>5670,8кв.м.*22,36руб./кв.м.*12мес.</t>
  </si>
  <si>
    <t>(0,51чел.(уб.л/пл.)*9921,13*6мес.)+(0,51*10317,11*6 мес.)</t>
  </si>
  <si>
    <t xml:space="preserve">0,54чел.*(3708руб.+200руб.))*1,5*1,15*1,083*1,302*6мес.)+0,54*(3856руб.+200руб.))*1,5*1,15*1,083*1,302*6мес.)+0,104руб./кв.м.асф.покр.*1545в.м.)*12 мес. </t>
  </si>
  <si>
    <t>(0,33чел.(уб.л/пл.)*9921,13*6мес.)+(0,33*10317,11*6 мес.)</t>
  </si>
  <si>
    <t>0,25 руб./мес.*716кв.м.*12мес.</t>
  </si>
  <si>
    <t>2,34руб./мес.*716кв.м.*4 раза</t>
  </si>
  <si>
    <t xml:space="preserve">12,71ч/час*(100,2134руб./час.*6мес.)+(12,71*104,2268руб./час*6мес.)+(1,71руб./м.кв.*(5670,80+0)кв.м.*12мес.) </t>
  </si>
  <si>
    <t>15,92руб./кв.м.*1073кв.м</t>
  </si>
  <si>
    <t>17,51руб./кв.м.*(5670,80+0)кв.м.</t>
  </si>
  <si>
    <t>3,051 руб./кв.м.*(5670,80+0)кв.м.</t>
  </si>
  <si>
    <t>1,54руб./кв.м*(5670,80+0)кв.м.</t>
  </si>
  <si>
    <t xml:space="preserve">(770,37ч/час/12*6*100,2134руб./час.+(770,376/12*6*104,2268руб./час)+(770,376ч/час/12*6*100,2134руб./час.+(770,376/12*6*104,2268руб./час)/1,302*25% </t>
  </si>
  <si>
    <t>3569,3кв.м.*15,04руб./кв.м.*12мес.</t>
  </si>
  <si>
    <t>5665,5кв.м.*20,50руб./кв.м.*12мес.</t>
  </si>
  <si>
    <t xml:space="preserve">1,24чел.*(3708руб.+200руб.))*1,5*1,15*1,083*1,302*6мес.)+1,24*(3856руб.+200руб.))*1,5*1,15*1,083*1,302*6мес.)+0,104руб./кв.м.асф.покр.*1914кв.м.)*12 мес. </t>
  </si>
  <si>
    <t>0чел.*(9921,13*6мес.)+(0*10317,11*6мес.)</t>
  </si>
  <si>
    <t>0,25 руб./мес.*921кв.м.*12 мес.</t>
  </si>
  <si>
    <t>2,34руб./мес.*921кв.м.*4 раза</t>
  </si>
  <si>
    <t xml:space="preserve">12,79ч/час*(100,2134руб./час.*6мес.)+12,79*104,2268руб./час*6мес.)+(1,71руб./м.кв.*(5665,50+0)кв.м.*12мес.) </t>
  </si>
  <si>
    <t>17,51руб./кв.м.*(5665,50+0)кв.м.</t>
  </si>
  <si>
    <t>3,051 руб./кв.м.*(5665,50+0)кв.м.</t>
  </si>
  <si>
    <t>1,54руб./кв.м*(5665,50+0)кв.м.</t>
  </si>
  <si>
    <t xml:space="preserve">(654,11руб./куб.м.+263,56/руб./куб.м./3)*24219/1000    </t>
  </si>
  <si>
    <t xml:space="preserve">(714,73ч/час/12*6*100,2134руб./час.+(714,73/12*6*104,2268руб./час)+(714,73ч/час/12*6*100,2134руб./час.+(714,73/12*6*104,2268руб./час)/1,302*25% </t>
  </si>
  <si>
    <t xml:space="preserve">Смета доходов  и расходов на содержание и текущий ремонт общедомового имущества дома №67, ул.Коммунаров </t>
  </si>
  <si>
    <t>1) ИП Токунова М.Ф. (298,8кв.м.)</t>
  </si>
  <si>
    <t>2) ООО "Дарья" (102,25кв.м.)</t>
  </si>
  <si>
    <t>3) ООО "Импульс плюс" (480,7кв.м.)</t>
  </si>
  <si>
    <t>4) ООО "Торгмастер" (408,5кв.м.)</t>
  </si>
  <si>
    <t>5) ООО "Фармленд-Центр" (102,25кв.м.)</t>
  </si>
  <si>
    <t>Итого стоимость услуг/(2848,9+1392,50)кв.м./12мес.</t>
  </si>
  <si>
    <t>2848,9кв.м.*14,88руб./кв.м.*12мес.</t>
  </si>
  <si>
    <t>298,8кв.м.*14,88руб.*12мес.</t>
  </si>
  <si>
    <t>102,25кв.м.*14,88руб.*12мес.</t>
  </si>
  <si>
    <t>480,7кв.м.*14,88руб.*12мес.</t>
  </si>
  <si>
    <t>408,5кв.м.*14,88руб.*12мес.</t>
  </si>
  <si>
    <t>350,04ру.*12мес.</t>
  </si>
  <si>
    <t xml:space="preserve">1,33чел.*(3708руб.+200руб.))*1,5*1,15*1,083*1,302*6мес.)+1,33*(3856руб.+200руб.))*1,5*1,15*1,083*1,302*6мес.)+0,104руб./кв.м.асф.покр.*1568кв.м.)*12 мес. </t>
  </si>
  <si>
    <t>0,25 руб./мес.*856кв.м.*12мес.</t>
  </si>
  <si>
    <t>2,34руб./мес.*856кв.м.*4 раза</t>
  </si>
  <si>
    <t xml:space="preserve">10,08ч/час*(100,2134руб./час.*6мес.)+(10,08*104,2268руб./час*6мес.)+(1,71руб./м.кв.*(2848,90+1392,50)кв.м.*12мес.) </t>
  </si>
  <si>
    <t>15,92руб./кв.м.*876кв.м</t>
  </si>
  <si>
    <t>17,51руб./кв.м.*(2848,90+1392,50)кв.м.</t>
  </si>
  <si>
    <t>3,051 руб./кв.м.*(2848,90+1392,50)кв.м.</t>
  </si>
  <si>
    <t>1,54руб./кв.м*(2848,90+1392,50)кв.м.</t>
  </si>
  <si>
    <t xml:space="preserve">(654,11руб./куб.м.+263,56/руб./куб.м./3)*13227/1000    </t>
  </si>
  <si>
    <t xml:space="preserve">(411,09ч/час/12*6*100,2134руб./час.+(411,09/12*6*104,2268руб./час)+(411,09ч/час/12*6*100,2134руб./час.+(411,09/12*6*104,2268руб./час)/1,302*25% </t>
  </si>
</sst>
</file>

<file path=xl/styles.xml><?xml version="1.0" encoding="utf-8"?>
<styleSheet xmlns="http://schemas.openxmlformats.org/spreadsheetml/2006/main">
  <numFmts count="9">
    <numFmt numFmtId="41" formatCode="_-* #,##0_р_._-;\-* #,##0_р_._-;_-* &quot;-&quot;_р_._-;_-@_-"/>
    <numFmt numFmtId="43" formatCode="_-* #,##0.00_р_._-;\-* #,##0.00_р_._-;_-* &quot;-&quot;??_р_._-;_-@_-"/>
    <numFmt numFmtId="164" formatCode="0.000"/>
    <numFmt numFmtId="165" formatCode="_-* #,##0.00_р_._-;\-* #,##0.00_р_._-;_-* \-??_р_._-;_-@_-"/>
    <numFmt numFmtId="166" formatCode="_-* #,##0_р_._-;\-* #,##0_р_._-;_-* \-_р_._-;_-@_-"/>
    <numFmt numFmtId="167" formatCode="#,##0.00_р_."/>
    <numFmt numFmtId="168" formatCode="0.0"/>
    <numFmt numFmtId="169" formatCode="0.0000000"/>
    <numFmt numFmtId="170" formatCode="0.00000000"/>
  </numFmts>
  <fonts count="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1"/>
    </font>
    <font>
      <sz val="11"/>
      <color indexed="8"/>
      <name val="Calibri"/>
      <family val="2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0"/>
      <color rgb="FF000000"/>
      <name val="Arial Cyr"/>
    </font>
    <font>
      <b/>
      <sz val="10"/>
      <color indexed="8"/>
      <name val="Times New Roman"/>
      <family val="1"/>
      <charset val="204"/>
    </font>
    <font>
      <b/>
      <u/>
      <sz val="10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sz val="12"/>
      <color rgb="FFEE82E6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sz val="11"/>
      <color rgb="FFEE82E6"/>
      <name val="Times New Roman"/>
      <family val="1"/>
      <charset val="204"/>
    </font>
    <font>
      <sz val="10"/>
      <color rgb="FFEE82E6"/>
      <name val="Times New Roman"/>
      <family val="1"/>
      <charset val="204"/>
    </font>
    <font>
      <b/>
      <i/>
      <sz val="10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93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14" fillId="0" borderId="0"/>
    <xf numFmtId="0" fontId="14" fillId="0" borderId="0"/>
    <xf numFmtId="0" fontId="15" fillId="0" borderId="0"/>
    <xf numFmtId="0" fontId="16" fillId="0" borderId="0"/>
    <xf numFmtId="9" fontId="14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166" fontId="6" fillId="0" borderId="0" applyFill="0" applyBorder="0" applyAlignment="0" applyProtection="0"/>
    <xf numFmtId="166" fontId="6" fillId="0" borderId="0" applyFill="0" applyBorder="0" applyAlignment="0" applyProtection="0"/>
    <xf numFmtId="41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" fillId="0" borderId="0"/>
    <xf numFmtId="9" fontId="6" fillId="0" borderId="0" applyFill="0" applyBorder="0" applyAlignment="0" applyProtection="0"/>
    <xf numFmtId="0" fontId="6" fillId="0" borderId="0"/>
    <xf numFmtId="0" fontId="19" fillId="0" borderId="0"/>
    <xf numFmtId="0" fontId="19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ill="0" applyBorder="0" applyAlignment="0" applyProtection="0"/>
    <xf numFmtId="166" fontId="6" fillId="0" borderId="0" applyFill="0" applyBorder="0" applyAlignment="0" applyProtection="0"/>
    <xf numFmtId="0" fontId="19" fillId="0" borderId="0"/>
    <xf numFmtId="0" fontId="6" fillId="0" borderId="0"/>
    <xf numFmtId="166" fontId="6" fillId="0" borderId="0" applyFill="0" applyBorder="0" applyAlignment="0" applyProtection="0"/>
    <xf numFmtId="165" fontId="6" fillId="0" borderId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0" fontId="15" fillId="0" borderId="0"/>
    <xf numFmtId="0" fontId="6" fillId="0" borderId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6" fillId="0" borderId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0" fontId="15" fillId="0" borderId="0"/>
    <xf numFmtId="0" fontId="15" fillId="0" borderId="0"/>
    <xf numFmtId="9" fontId="14" fillId="0" borderId="0" applyFont="0" applyFill="0" applyBorder="0" applyAlignment="0" applyProtection="0"/>
    <xf numFmtId="0" fontId="14" fillId="0" borderId="0"/>
    <xf numFmtId="0" fontId="6" fillId="0" borderId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4" fillId="0" borderId="0"/>
    <xf numFmtId="0" fontId="14" fillId="0" borderId="0"/>
    <xf numFmtId="41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0" fontId="14" fillId="0" borderId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6" fillId="0" borderId="0"/>
    <xf numFmtId="0" fontId="14" fillId="0" borderId="0"/>
    <xf numFmtId="41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ill="0" applyBorder="0" applyAlignment="0" applyProtection="0"/>
    <xf numFmtId="166" fontId="6" fillId="0" borderId="0" applyFill="0" applyBorder="0" applyAlignment="0" applyProtection="0"/>
    <xf numFmtId="9" fontId="17" fillId="0" borderId="0" applyFont="0" applyFill="0" applyBorder="0" applyAlignment="0" applyProtection="0"/>
    <xf numFmtId="166" fontId="6" fillId="0" borderId="0" applyFill="0" applyBorder="0" applyAlignment="0" applyProtection="0"/>
    <xf numFmtId="0" fontId="19" fillId="0" borderId="0"/>
    <xf numFmtId="9" fontId="14" fillId="0" borderId="0" applyFont="0" applyFill="0" applyBorder="0" applyAlignment="0" applyProtection="0"/>
    <xf numFmtId="0" fontId="14" fillId="0" borderId="0"/>
    <xf numFmtId="0" fontId="15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41" fontId="17" fillId="0" borderId="0" applyFont="0" applyFill="0" applyBorder="0" applyAlignment="0" applyProtection="0"/>
    <xf numFmtId="0" fontId="15" fillId="0" borderId="0"/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9" fillId="0" borderId="0"/>
    <xf numFmtId="0" fontId="6" fillId="0" borderId="0"/>
    <xf numFmtId="166" fontId="6" fillId="0" borderId="0" applyFill="0" applyBorder="0" applyAlignment="0" applyProtection="0"/>
    <xf numFmtId="41" fontId="14" fillId="0" borderId="0" applyFont="0" applyFill="0" applyBorder="0" applyAlignment="0" applyProtection="0"/>
    <xf numFmtId="166" fontId="6" fillId="0" borderId="0" applyFill="0" applyBorder="0" applyAlignment="0" applyProtection="0"/>
    <xf numFmtId="166" fontId="6" fillId="0" borderId="0" applyFill="0" applyBorder="0" applyAlignment="0" applyProtection="0"/>
    <xf numFmtId="9" fontId="6" fillId="0" borderId="0" applyFill="0" applyBorder="0" applyAlignment="0" applyProtection="0"/>
    <xf numFmtId="9" fontId="17" fillId="0" borderId="0" applyFont="0" applyFill="0" applyBorder="0" applyAlignment="0" applyProtection="0"/>
    <xf numFmtId="166" fontId="6" fillId="0" borderId="0" applyFill="0" applyBorder="0" applyAlignment="0" applyProtection="0"/>
    <xf numFmtId="9" fontId="6" fillId="0" borderId="0" applyFill="0" applyBorder="0" applyAlignment="0" applyProtection="0"/>
    <xf numFmtId="41" fontId="14" fillId="0" borderId="0" applyFont="0" applyFill="0" applyBorder="0" applyAlignment="0" applyProtection="0"/>
    <xf numFmtId="0" fontId="6" fillId="0" borderId="0"/>
    <xf numFmtId="41" fontId="17" fillId="0" borderId="0" applyFont="0" applyFill="0" applyBorder="0" applyAlignment="0" applyProtection="0"/>
    <xf numFmtId="0" fontId="14" fillId="0" borderId="0"/>
    <xf numFmtId="0" fontId="6" fillId="0" borderId="0"/>
    <xf numFmtId="9" fontId="6" fillId="0" borderId="0" applyFill="0" applyBorder="0" applyAlignment="0" applyProtection="0"/>
    <xf numFmtId="0" fontId="15" fillId="0" borderId="0"/>
    <xf numFmtId="0" fontId="14" fillId="0" borderId="0"/>
    <xf numFmtId="9" fontId="6" fillId="0" borderId="0" applyFill="0" applyBorder="0" applyAlignment="0" applyProtection="0"/>
    <xf numFmtId="0" fontId="15" fillId="0" borderId="0"/>
    <xf numFmtId="0" fontId="6" fillId="0" borderId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0" fontId="6" fillId="0" borderId="0"/>
    <xf numFmtId="0" fontId="14" fillId="0" borderId="0"/>
    <xf numFmtId="165" fontId="6" fillId="0" borderId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0" fontId="6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6" fillId="0" borderId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0" fontId="6" fillId="0" borderId="0"/>
    <xf numFmtId="0" fontId="14" fillId="0" borderId="0"/>
    <xf numFmtId="0" fontId="1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14" fillId="0" borderId="0"/>
    <xf numFmtId="0" fontId="6" fillId="0" borderId="0"/>
    <xf numFmtId="0" fontId="1" fillId="0" borderId="0"/>
    <xf numFmtId="0" fontId="14" fillId="0" borderId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14" fillId="0" borderId="0"/>
    <xf numFmtId="165" fontId="6" fillId="0" borderId="0" applyFill="0" applyBorder="0" applyAlignment="0" applyProtection="0"/>
    <xf numFmtId="0" fontId="1" fillId="0" borderId="0"/>
    <xf numFmtId="0" fontId="6" fillId="0" borderId="0"/>
    <xf numFmtId="0" fontId="1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14" fillId="0" borderId="0"/>
    <xf numFmtId="0" fontId="6" fillId="0" borderId="0"/>
    <xf numFmtId="0" fontId="14" fillId="0" borderId="0"/>
    <xf numFmtId="165" fontId="6" fillId="0" borderId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0" fontId="6" fillId="0" borderId="0"/>
    <xf numFmtId="0" fontId="6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6" fillId="0" borderId="0"/>
    <xf numFmtId="0" fontId="14" fillId="0" borderId="0"/>
    <xf numFmtId="165" fontId="6" fillId="0" borderId="0" applyFill="0" applyBorder="0" applyAlignment="0" applyProtection="0"/>
    <xf numFmtId="0" fontId="14" fillId="0" borderId="0"/>
    <xf numFmtId="165" fontId="6" fillId="0" borderId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14" fillId="0" borderId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165" fontId="6" fillId="0" borderId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165" fontId="6" fillId="0" borderId="0" applyFill="0" applyBorder="0" applyAlignment="0" applyProtection="0"/>
    <xf numFmtId="0" fontId="14" fillId="0" borderId="0"/>
    <xf numFmtId="0" fontId="1" fillId="0" borderId="0"/>
    <xf numFmtId="0" fontId="14" fillId="0" borderId="0"/>
    <xf numFmtId="0" fontId="1" fillId="0" borderId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0" fontId="14" fillId="0" borderId="0"/>
    <xf numFmtId="165" fontId="6" fillId="0" borderId="0" applyFill="0" applyBorder="0" applyAlignment="0" applyProtection="0"/>
    <xf numFmtId="0" fontId="6" fillId="0" borderId="0"/>
    <xf numFmtId="0" fontId="1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165" fontId="6" fillId="0" borderId="0" applyFill="0" applyBorder="0" applyAlignment="0" applyProtection="0"/>
    <xf numFmtId="0" fontId="6" fillId="0" borderId="0"/>
    <xf numFmtId="0" fontId="14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4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6" fillId="0" borderId="0"/>
    <xf numFmtId="165" fontId="6" fillId="0" borderId="0" applyFill="0" applyBorder="0" applyAlignment="0" applyProtection="0"/>
    <xf numFmtId="165" fontId="6" fillId="0" borderId="0" applyFill="0" applyBorder="0" applyAlignment="0" applyProtection="0"/>
    <xf numFmtId="0" fontId="1" fillId="0" borderId="0"/>
    <xf numFmtId="0" fontId="1" fillId="0" borderId="0"/>
    <xf numFmtId="0" fontId="6" fillId="0" borderId="0"/>
    <xf numFmtId="165" fontId="6" fillId="0" borderId="0" applyFill="0" applyBorder="0" applyAlignment="0" applyProtection="0"/>
    <xf numFmtId="0" fontId="6" fillId="0" borderId="0"/>
    <xf numFmtId="165" fontId="6" fillId="0" borderId="0" applyFill="0" applyBorder="0" applyAlignment="0" applyProtection="0"/>
    <xf numFmtId="165" fontId="6" fillId="0" borderId="0" applyFill="0" applyBorder="0" applyAlignment="0" applyProtection="0"/>
    <xf numFmtId="0" fontId="1" fillId="0" borderId="0"/>
    <xf numFmtId="0" fontId="6" fillId="0" borderId="0"/>
    <xf numFmtId="165" fontId="6" fillId="0" borderId="0" applyFill="0" applyBorder="0" applyAlignment="0" applyProtection="0"/>
    <xf numFmtId="0" fontId="1" fillId="0" borderId="0"/>
    <xf numFmtId="0" fontId="6" fillId="0" borderId="0"/>
    <xf numFmtId="0" fontId="6" fillId="0" borderId="0"/>
    <xf numFmtId="165" fontId="6" fillId="0" borderId="0" applyFill="0" applyBorder="0" applyAlignment="0" applyProtection="0"/>
    <xf numFmtId="0" fontId="1" fillId="0" borderId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0" fontId="14" fillId="0" borderId="0"/>
    <xf numFmtId="0" fontId="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9" fillId="0" borderId="0"/>
  </cellStyleXfs>
  <cellXfs count="807">
    <xf numFmtId="0" fontId="0" fillId="0" borderId="0" xfId="0"/>
    <xf numFmtId="4" fontId="7" fillId="0" borderId="1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0" borderId="3" xfId="0" applyNumberFormat="1" applyFont="1" applyFill="1" applyBorder="1" applyAlignment="1">
      <alignment horizontal="center" vertical="center"/>
    </xf>
    <xf numFmtId="4" fontId="7" fillId="0" borderId="6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22" fillId="0" borderId="0" xfId="0" applyFont="1"/>
    <xf numFmtId="0" fontId="12" fillId="0" borderId="0" xfId="0" applyFont="1"/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2" fillId="0" borderId="0" xfId="0" applyFont="1"/>
    <xf numFmtId="0" fontId="12" fillId="0" borderId="0" xfId="0" applyFont="1"/>
    <xf numFmtId="164" fontId="2" fillId="2" borderId="0" xfId="0" applyNumberFormat="1" applyFont="1" applyFill="1" applyBorder="1" applyAlignment="1">
      <alignment horizontal="center"/>
    </xf>
    <xf numFmtId="0" fontId="18" fillId="0" borderId="0" xfId="0" applyFont="1" applyFill="1"/>
    <xf numFmtId="0" fontId="1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164" fontId="5" fillId="0" borderId="9" xfId="119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2" fontId="20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4" fontId="5" fillId="0" borderId="4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2" fontId="7" fillId="0" borderId="1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2" fontId="9" fillId="0" borderId="12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22" fillId="0" borderId="0" xfId="0" applyFont="1" applyFill="1"/>
    <xf numFmtId="0" fontId="5" fillId="0" borderId="2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" fontId="11" fillId="0" borderId="1" xfId="0" applyNumberFormat="1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2" fillId="0" borderId="1" xfId="0" applyFont="1" applyFill="1" applyBorder="1" applyAlignment="1">
      <alignment vertical="center" wrapText="1"/>
    </xf>
    <xf numFmtId="0" fontId="12" fillId="0" borderId="9" xfId="0" applyFont="1" applyFill="1" applyBorder="1" applyAlignment="1">
      <alignment vertical="center"/>
    </xf>
    <xf numFmtId="0" fontId="7" fillId="0" borderId="9" xfId="10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2" fontId="7" fillId="0" borderId="12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4" fontId="2" fillId="0" borderId="1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10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" fontId="2" fillId="0" borderId="1" xfId="1" applyNumberFormat="1" applyFont="1" applyFill="1" applyBorder="1" applyAlignment="1" applyProtection="1">
      <alignment horizontal="center" vertical="center"/>
    </xf>
    <xf numFmtId="165" fontId="2" fillId="0" borderId="10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4" fontId="3" fillId="0" borderId="1" xfId="0" applyNumberFormat="1" applyFont="1" applyFill="1" applyBorder="1" applyAlignment="1">
      <alignment horizontal="center" vertical="center"/>
    </xf>
    <xf numFmtId="4" fontId="3" fillId="0" borderId="10" xfId="0" applyNumberFormat="1" applyFont="1" applyFill="1" applyBorder="1" applyAlignment="1">
      <alignment horizontal="center" vertical="center" wrapText="1"/>
    </xf>
    <xf numFmtId="0" fontId="25" fillId="0" borderId="9" xfId="18" applyFont="1" applyFill="1" applyBorder="1" applyAlignment="1">
      <alignment horizontal="left" vertical="center" wrapText="1"/>
    </xf>
    <xf numFmtId="167" fontId="25" fillId="0" borderId="9" xfId="18" applyNumberFormat="1" applyFont="1" applyFill="1" applyBorder="1" applyAlignment="1">
      <alignment horizontal="center" vertical="center" wrapText="1"/>
    </xf>
    <xf numFmtId="0" fontId="24" fillId="0" borderId="9" xfId="18" applyFont="1" applyFill="1" applyBorder="1" applyAlignment="1">
      <alignment horizontal="center" vertical="center" wrapText="1"/>
    </xf>
    <xf numFmtId="0" fontId="5" fillId="0" borderId="9" xfId="18" applyFont="1" applyFill="1" applyBorder="1" applyAlignment="1">
      <alignment horizontal="center" vertical="center"/>
    </xf>
    <xf numFmtId="0" fontId="0" fillId="0" borderId="0" xfId="0" applyFill="1"/>
    <xf numFmtId="0" fontId="25" fillId="3" borderId="14" xfId="0" applyFont="1" applyFill="1" applyBorder="1" applyAlignment="1">
      <alignment horizontal="center" vertical="center" wrapText="1"/>
    </xf>
    <xf numFmtId="0" fontId="7" fillId="3" borderId="1" xfId="392" applyFont="1" applyFill="1" applyBorder="1"/>
    <xf numFmtId="0" fontId="5" fillId="0" borderId="0" xfId="119" applyFont="1"/>
    <xf numFmtId="0" fontId="7" fillId="3" borderId="6" xfId="392" applyFont="1" applyFill="1" applyBorder="1"/>
    <xf numFmtId="2" fontId="7" fillId="3" borderId="1" xfId="392" applyNumberFormat="1" applyFont="1" applyFill="1" applyBorder="1"/>
    <xf numFmtId="2" fontId="5" fillId="0" borderId="0" xfId="119" applyNumberFormat="1" applyFont="1"/>
    <xf numFmtId="0" fontId="7" fillId="3" borderId="2" xfId="392" applyFont="1" applyFill="1" applyBorder="1"/>
    <xf numFmtId="0" fontId="7" fillId="3" borderId="15" xfId="392" applyFont="1" applyFill="1" applyBorder="1"/>
    <xf numFmtId="2" fontId="0" fillId="3" borderId="9" xfId="0" applyNumberFormat="1" applyFill="1" applyBorder="1"/>
    <xf numFmtId="2" fontId="18" fillId="0" borderId="0" xfId="0" applyNumberFormat="1" applyFont="1"/>
    <xf numFmtId="4" fontId="5" fillId="0" borderId="9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left" vertical="center" wrapText="1"/>
    </xf>
    <xf numFmtId="4" fontId="5" fillId="0" borderId="4" xfId="2" applyNumberFormat="1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 wrapText="1"/>
    </xf>
    <xf numFmtId="4" fontId="5" fillId="0" borderId="6" xfId="2" applyNumberFormat="1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center" vertical="center" wrapText="1"/>
    </xf>
    <xf numFmtId="49" fontId="23" fillId="0" borderId="9" xfId="0" applyNumberFormat="1" applyFont="1" applyFill="1" applyBorder="1" applyAlignment="1">
      <alignment vertical="center"/>
    </xf>
    <xf numFmtId="0" fontId="5" fillId="0" borderId="1" xfId="2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167" fontId="24" fillId="0" borderId="0" xfId="0" applyNumberFormat="1" applyFont="1" applyFill="1"/>
    <xf numFmtId="0" fontId="24" fillId="0" borderId="0" xfId="0" applyFont="1" applyFill="1"/>
    <xf numFmtId="0" fontId="26" fillId="0" borderId="0" xfId="0" applyFont="1" applyFill="1" applyAlignment="1">
      <alignment horizontal="left" vertical="center"/>
    </xf>
    <xf numFmtId="167" fontId="26" fillId="0" borderId="0" xfId="0" applyNumberFormat="1" applyFont="1" applyFill="1"/>
    <xf numFmtId="0" fontId="26" fillId="0" borderId="0" xfId="0" applyFont="1" applyFill="1"/>
    <xf numFmtId="0" fontId="11" fillId="0" borderId="0" xfId="0" applyFont="1" applyFill="1"/>
    <xf numFmtId="167" fontId="7" fillId="0" borderId="9" xfId="0" applyNumberFormat="1" applyFont="1" applyFill="1" applyBorder="1" applyAlignment="1">
      <alignment horizontal="center" vertical="center"/>
    </xf>
    <xf numFmtId="4" fontId="7" fillId="0" borderId="9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4" fontId="5" fillId="0" borderId="16" xfId="0" applyNumberFormat="1" applyFont="1" applyFill="1" applyBorder="1" applyAlignment="1">
      <alignment horizontal="center"/>
    </xf>
    <xf numFmtId="0" fontId="5" fillId="0" borderId="17" xfId="0" applyFont="1" applyFill="1" applyBorder="1" applyAlignment="1">
      <alignment horizontal="left" vertical="center" wrapText="1"/>
    </xf>
    <xf numFmtId="0" fontId="26" fillId="0" borderId="9" xfId="18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23" fillId="0" borderId="18" xfId="0" applyFont="1" applyFill="1" applyBorder="1" applyAlignment="1">
      <alignment vertical="center"/>
    </xf>
    <xf numFmtId="4" fontId="5" fillId="0" borderId="5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 wrapText="1"/>
    </xf>
    <xf numFmtId="167" fontId="7" fillId="0" borderId="5" xfId="0" applyNumberFormat="1" applyFont="1" applyFill="1" applyBorder="1" applyAlignment="1">
      <alignment horizontal="center" vertical="center" wrapText="1"/>
    </xf>
    <xf numFmtId="167" fontId="7" fillId="0" borderId="11" xfId="0" applyNumberFormat="1" applyFont="1" applyFill="1" applyBorder="1" applyAlignment="1">
      <alignment horizontal="left" vertical="center" wrapText="1"/>
    </xf>
    <xf numFmtId="2" fontId="5" fillId="0" borderId="10" xfId="0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/>
    </xf>
    <xf numFmtId="2" fontId="11" fillId="0" borderId="11" xfId="0" applyNumberFormat="1" applyFont="1" applyFill="1" applyBorder="1" applyAlignment="1">
      <alignment horizontal="center" vertical="center" wrapText="1"/>
    </xf>
    <xf numFmtId="167" fontId="7" fillId="0" borderId="9" xfId="0" applyNumberFormat="1" applyFont="1" applyFill="1" applyBorder="1" applyAlignment="1">
      <alignment horizontal="center" vertical="center" wrapText="1"/>
    </xf>
    <xf numFmtId="167" fontId="7" fillId="0" borderId="9" xfId="0" applyNumberFormat="1" applyFont="1" applyFill="1" applyBorder="1" applyAlignment="1">
      <alignment horizontal="left" vertical="center" wrapText="1"/>
    </xf>
    <xf numFmtId="167" fontId="5" fillId="0" borderId="9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2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167" fontId="5" fillId="0" borderId="11" xfId="0" applyNumberFormat="1" applyFont="1" applyFill="1" applyBorder="1" applyAlignment="1">
      <alignment horizontal="left" vertical="center" wrapText="1"/>
    </xf>
    <xf numFmtId="4" fontId="5" fillId="0" borderId="6" xfId="0" applyNumberFormat="1" applyFont="1" applyFill="1" applyBorder="1" applyAlignment="1">
      <alignment horizontal="center" vertical="center"/>
    </xf>
    <xf numFmtId="2" fontId="2" fillId="0" borderId="10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/>
    </xf>
    <xf numFmtId="2" fontId="5" fillId="0" borderId="12" xfId="0" applyNumberFormat="1" applyFont="1" applyFill="1" applyBorder="1" applyAlignment="1">
      <alignment horizontal="center" vertical="center" wrapText="1"/>
    </xf>
    <xf numFmtId="0" fontId="21" fillId="0" borderId="9" xfId="18" applyFont="1" applyFill="1" applyBorder="1" applyAlignment="1">
      <alignment horizontal="left" vertical="center" wrapText="1"/>
    </xf>
    <xf numFmtId="167" fontId="21" fillId="0" borderId="9" xfId="18" applyNumberFormat="1" applyFont="1" applyFill="1" applyBorder="1" applyAlignment="1">
      <alignment horizontal="center" vertical="center" wrapText="1"/>
    </xf>
    <xf numFmtId="0" fontId="28" fillId="0" borderId="0" xfId="0" applyFont="1" applyFill="1"/>
    <xf numFmtId="168" fontId="2" fillId="0" borderId="0" xfId="0" applyNumberFormat="1" applyFont="1" applyFill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392" applyFont="1" applyFill="1" applyBorder="1"/>
    <xf numFmtId="2" fontId="7" fillId="5" borderId="1" xfId="392" applyNumberFormat="1" applyFont="1" applyFill="1" applyBorder="1"/>
    <xf numFmtId="4" fontId="5" fillId="4" borderId="19" xfId="0" applyNumberFormat="1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left" vertical="center" wrapText="1"/>
    </xf>
    <xf numFmtId="4" fontId="5" fillId="4" borderId="19" xfId="0" applyNumberFormat="1" applyFont="1" applyFill="1" applyBorder="1" applyAlignment="1">
      <alignment horizontal="center" vertical="center" wrapText="1"/>
    </xf>
    <xf numFmtId="167" fontId="5" fillId="4" borderId="19" xfId="0" applyNumberFormat="1" applyFont="1" applyFill="1" applyBorder="1" applyAlignment="1">
      <alignment horizontal="center" vertical="center" wrapText="1"/>
    </xf>
    <xf numFmtId="4" fontId="23" fillId="4" borderId="19" xfId="0" applyNumberFormat="1" applyFont="1" applyFill="1" applyBorder="1" applyAlignment="1">
      <alignment horizontal="center" vertical="center" wrapText="1"/>
    </xf>
    <xf numFmtId="2" fontId="7" fillId="4" borderId="5" xfId="0" applyNumberFormat="1" applyFont="1" applyFill="1" applyBorder="1" applyAlignment="1">
      <alignment horizontal="left" vertical="center" wrapText="1"/>
    </xf>
    <xf numFmtId="4" fontId="7" fillId="4" borderId="10" xfId="0" applyNumberFormat="1" applyFont="1" applyFill="1" applyBorder="1" applyAlignment="1">
      <alignment horizontal="center" vertical="center"/>
    </xf>
    <xf numFmtId="2" fontId="7" fillId="4" borderId="10" xfId="0" applyNumberFormat="1" applyFont="1" applyFill="1" applyBorder="1" applyAlignment="1">
      <alignment horizontal="left" vertical="center" wrapText="1"/>
    </xf>
    <xf numFmtId="4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left" vertical="center" wrapText="1"/>
    </xf>
    <xf numFmtId="4" fontId="5" fillId="4" borderId="9" xfId="0" applyNumberFormat="1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left" vertical="center" wrapText="1"/>
    </xf>
    <xf numFmtId="167" fontId="5" fillId="4" borderId="9" xfId="0" applyNumberFormat="1" applyFont="1" applyFill="1" applyBorder="1" applyAlignment="1">
      <alignment horizontal="center" vertical="center" wrapText="1"/>
    </xf>
    <xf numFmtId="4" fontId="5" fillId="4" borderId="9" xfId="0" applyNumberFormat="1" applyFont="1" applyFill="1" applyBorder="1" applyAlignment="1">
      <alignment horizontal="center" vertical="center"/>
    </xf>
    <xf numFmtId="167" fontId="7" fillId="4" borderId="9" xfId="0" applyNumberFormat="1" applyFont="1" applyFill="1" applyBorder="1" applyAlignment="1">
      <alignment horizontal="center" vertical="center" wrapText="1"/>
    </xf>
    <xf numFmtId="2" fontId="7" fillId="4" borderId="9" xfId="0" applyNumberFormat="1" applyFont="1" applyFill="1" applyBorder="1" applyAlignment="1">
      <alignment horizontal="left" vertical="center" wrapText="1"/>
    </xf>
    <xf numFmtId="4" fontId="7" fillId="4" borderId="9" xfId="0" applyNumberFormat="1" applyFont="1" applyFill="1" applyBorder="1" applyAlignment="1">
      <alignment horizontal="center" vertical="center" wrapText="1"/>
    </xf>
    <xf numFmtId="167" fontId="7" fillId="4" borderId="9" xfId="0" applyNumberFormat="1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5" fillId="5" borderId="0" xfId="119" applyFont="1" applyFill="1"/>
    <xf numFmtId="0" fontId="23" fillId="0" borderId="20" xfId="0" applyFont="1" applyFill="1" applyBorder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left" vertical="center" wrapText="1"/>
    </xf>
    <xf numFmtId="2" fontId="18" fillId="0" borderId="0" xfId="0" applyNumberFormat="1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vertical="center"/>
    </xf>
    <xf numFmtId="0" fontId="18" fillId="0" borderId="20" xfId="0" applyFont="1" applyBorder="1" applyAlignment="1">
      <alignment horizontal="left" vertical="center"/>
    </xf>
    <xf numFmtId="0" fontId="18" fillId="0" borderId="20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 wrapText="1"/>
    </xf>
    <xf numFmtId="4" fontId="26" fillId="0" borderId="20" xfId="0" applyNumberFormat="1" applyFont="1" applyFill="1" applyBorder="1" applyAlignment="1">
      <alignment horizontal="center"/>
    </xf>
    <xf numFmtId="0" fontId="26" fillId="0" borderId="20" xfId="0" applyFont="1" applyFill="1" applyBorder="1" applyAlignment="1">
      <alignment horizontal="left" vertical="center" wrapText="1"/>
    </xf>
    <xf numFmtId="0" fontId="26" fillId="0" borderId="20" xfId="0" applyFont="1" applyFill="1" applyBorder="1" applyAlignment="1">
      <alignment vertical="center"/>
    </xf>
    <xf numFmtId="0" fontId="25" fillId="3" borderId="20" xfId="0" applyFont="1" applyFill="1" applyBorder="1" applyAlignment="1">
      <alignment horizontal="left" vertical="center" wrapText="1"/>
    </xf>
    <xf numFmtId="0" fontId="25" fillId="0" borderId="20" xfId="392" applyFont="1" applyFill="1" applyBorder="1" applyAlignment="1">
      <alignment horizontal="left" vertical="center"/>
    </xf>
    <xf numFmtId="0" fontId="26" fillId="0" borderId="20" xfId="0" applyFont="1" applyFill="1" applyBorder="1" applyAlignment="1">
      <alignment vertical="center" wrapText="1"/>
    </xf>
    <xf numFmtId="4" fontId="26" fillId="0" borderId="20" xfId="0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vertical="center"/>
    </xf>
    <xf numFmtId="0" fontId="24" fillId="3" borderId="20" xfId="392" applyFont="1" applyFill="1" applyBorder="1" applyAlignment="1">
      <alignment horizontal="left" vertical="center"/>
    </xf>
    <xf numFmtId="0" fontId="24" fillId="0" borderId="20" xfId="392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 wrapText="1"/>
    </xf>
    <xf numFmtId="4" fontId="2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26" fillId="0" borderId="1" xfId="2" applyFont="1" applyFill="1" applyBorder="1" applyAlignment="1">
      <alignment vertical="center" wrapText="1"/>
    </xf>
    <xf numFmtId="4" fontId="26" fillId="0" borderId="4" xfId="2" applyNumberFormat="1" applyFont="1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 wrapText="1"/>
    </xf>
    <xf numFmtId="4" fontId="26" fillId="0" borderId="6" xfId="2" applyNumberFormat="1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vertical="center" wrapText="1"/>
    </xf>
    <xf numFmtId="4" fontId="31" fillId="0" borderId="1" xfId="0" applyNumberFormat="1" applyFont="1" applyFill="1" applyBorder="1" applyAlignment="1">
      <alignment horizontal="center" vertical="center"/>
    </xf>
    <xf numFmtId="2" fontId="24" fillId="0" borderId="10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center" vertical="center"/>
    </xf>
    <xf numFmtId="2" fontId="18" fillId="0" borderId="20" xfId="0" applyNumberFormat="1" applyFont="1" applyFill="1" applyBorder="1" applyAlignment="1">
      <alignment horizontal="left" vertical="center" wrapText="1"/>
    </xf>
    <xf numFmtId="2" fontId="24" fillId="0" borderId="20" xfId="392" applyNumberFormat="1" applyFont="1" applyFill="1" applyBorder="1" applyAlignment="1">
      <alignment horizontal="left" vertical="center"/>
    </xf>
    <xf numFmtId="2" fontId="18" fillId="0" borderId="20" xfId="0" applyNumberFormat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 wrapText="1"/>
    </xf>
    <xf numFmtId="4" fontId="21" fillId="0" borderId="2" xfId="0" applyNumberFormat="1" applyFont="1" applyFill="1" applyBorder="1" applyAlignment="1">
      <alignment horizontal="center" vertical="center" wrapText="1"/>
    </xf>
    <xf numFmtId="2" fontId="25" fillId="0" borderId="12" xfId="0" applyNumberFormat="1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vertical="center" wrapText="1"/>
    </xf>
    <xf numFmtId="0" fontId="26" fillId="0" borderId="10" xfId="0" applyFont="1" applyFill="1" applyBorder="1" applyAlignment="1">
      <alignment vertical="center"/>
    </xf>
    <xf numFmtId="0" fontId="18" fillId="0" borderId="20" xfId="0" applyFont="1" applyBorder="1"/>
    <xf numFmtId="2" fontId="18" fillId="0" borderId="20" xfId="0" applyNumberFormat="1" applyFont="1" applyBorder="1" applyAlignment="1">
      <alignment horizontal="left"/>
    </xf>
    <xf numFmtId="0" fontId="26" fillId="0" borderId="1" xfId="0" applyFont="1" applyFill="1" applyBorder="1" applyAlignment="1">
      <alignment vertical="center" wrapText="1"/>
    </xf>
    <xf numFmtId="0" fontId="18" fillId="0" borderId="21" xfId="0" applyFont="1" applyFill="1" applyBorder="1" applyAlignment="1">
      <alignment vertical="center"/>
    </xf>
    <xf numFmtId="0" fontId="24" fillId="3" borderId="21" xfId="0" applyFont="1" applyFill="1" applyBorder="1" applyAlignment="1">
      <alignment horizontal="left" vertical="center" wrapText="1"/>
    </xf>
    <xf numFmtId="2" fontId="18" fillId="0" borderId="21" xfId="0" applyNumberFormat="1" applyFont="1" applyFill="1" applyBorder="1" applyAlignment="1">
      <alignment horizontal="left" vertical="center"/>
    </xf>
    <xf numFmtId="0" fontId="26" fillId="0" borderId="2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32" fillId="0" borderId="20" xfId="0" applyFont="1" applyFill="1" applyBorder="1" applyAlignment="1">
      <alignment vertical="center"/>
    </xf>
    <xf numFmtId="0" fontId="24" fillId="0" borderId="20" xfId="10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6" fillId="0" borderId="2" xfId="0" applyFont="1" applyFill="1" applyBorder="1" applyAlignment="1">
      <alignment vertical="center"/>
    </xf>
    <xf numFmtId="4" fontId="24" fillId="0" borderId="2" xfId="0" applyNumberFormat="1" applyFont="1" applyFill="1" applyBorder="1" applyAlignment="1">
      <alignment horizontal="center" vertical="center"/>
    </xf>
    <xf numFmtId="2" fontId="24" fillId="0" borderId="12" xfId="0" applyNumberFormat="1" applyFont="1" applyFill="1" applyBorder="1" applyAlignment="1">
      <alignment horizontal="center" vertical="center" wrapText="1"/>
    </xf>
    <xf numFmtId="4" fontId="26" fillId="0" borderId="10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left" vertical="center"/>
    </xf>
    <xf numFmtId="2" fontId="26" fillId="0" borderId="1" xfId="0" applyNumberFormat="1" applyFont="1" applyFill="1" applyBorder="1" applyAlignment="1">
      <alignment horizontal="center" vertical="center"/>
    </xf>
    <xf numFmtId="164" fontId="26" fillId="0" borderId="20" xfId="119" applyNumberFormat="1" applyFont="1" applyFill="1" applyBorder="1" applyAlignment="1">
      <alignment horizontal="center" vertical="center" wrapText="1"/>
    </xf>
    <xf numFmtId="165" fontId="26" fillId="0" borderId="10" xfId="1" applyNumberFormat="1" applyFont="1" applyFill="1" applyBorder="1" applyAlignment="1" applyProtection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/>
    </xf>
    <xf numFmtId="4" fontId="21" fillId="0" borderId="10" xfId="0" applyNumberFormat="1" applyFont="1" applyFill="1" applyBorder="1" applyAlignment="1">
      <alignment horizontal="center" vertical="center" wrapText="1"/>
    </xf>
    <xf numFmtId="0" fontId="25" fillId="0" borderId="20" xfId="18" applyFont="1" applyFill="1" applyBorder="1" applyAlignment="1">
      <alignment horizontal="left" vertical="center" wrapText="1"/>
    </xf>
    <xf numFmtId="167" fontId="25" fillId="0" borderId="20" xfId="18" applyNumberFormat="1" applyFont="1" applyFill="1" applyBorder="1" applyAlignment="1">
      <alignment horizontal="center" vertical="center" wrapText="1"/>
    </xf>
    <xf numFmtId="0" fontId="24" fillId="0" borderId="20" xfId="18" applyFont="1" applyFill="1" applyBorder="1" applyAlignment="1">
      <alignment horizontal="center" vertical="center" wrapText="1"/>
    </xf>
    <xf numFmtId="0" fontId="26" fillId="0" borderId="20" xfId="18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 wrapText="1"/>
    </xf>
    <xf numFmtId="0" fontId="26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4" fontId="29" fillId="0" borderId="9" xfId="0" applyNumberFormat="1" applyFont="1" applyFill="1" applyBorder="1" applyAlignment="1">
      <alignment horizontal="center"/>
    </xf>
    <xf numFmtId="0" fontId="26" fillId="0" borderId="9" xfId="0" applyFont="1" applyFill="1" applyBorder="1" applyAlignment="1">
      <alignment vertical="center"/>
    </xf>
    <xf numFmtId="4" fontId="29" fillId="0" borderId="1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vertical="center"/>
    </xf>
    <xf numFmtId="0" fontId="21" fillId="0" borderId="5" xfId="0" applyFont="1" applyFill="1" applyBorder="1" applyAlignment="1">
      <alignment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 wrapText="1"/>
    </xf>
    <xf numFmtId="4" fontId="24" fillId="0" borderId="9" xfId="0" applyNumberFormat="1" applyFont="1" applyFill="1" applyBorder="1" applyAlignment="1">
      <alignment horizontal="center" vertical="center"/>
    </xf>
    <xf numFmtId="4" fontId="26" fillId="0" borderId="9" xfId="0" applyNumberFormat="1" applyFont="1" applyFill="1" applyBorder="1" applyAlignment="1">
      <alignment horizontal="center" vertical="center" wrapText="1"/>
    </xf>
    <xf numFmtId="4" fontId="25" fillId="0" borderId="9" xfId="0" applyNumberFormat="1" applyFont="1" applyFill="1" applyBorder="1" applyAlignment="1">
      <alignment horizontal="center" vertical="center"/>
    </xf>
    <xf numFmtId="2" fontId="24" fillId="0" borderId="9" xfId="0" applyNumberFormat="1" applyFont="1" applyFill="1" applyBorder="1" applyAlignment="1">
      <alignment horizontal="center" vertical="center" wrapText="1"/>
    </xf>
    <xf numFmtId="0" fontId="32" fillId="0" borderId="0" xfId="0" applyFont="1"/>
    <xf numFmtId="0" fontId="21" fillId="0" borderId="0" xfId="0" applyFont="1"/>
    <xf numFmtId="4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/>
    </xf>
    <xf numFmtId="2" fontId="26" fillId="0" borderId="9" xfId="0" applyNumberFormat="1" applyFont="1" applyFill="1" applyBorder="1" applyAlignment="1">
      <alignment horizontal="left" vertical="center"/>
    </xf>
    <xf numFmtId="2" fontId="26" fillId="0" borderId="9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left" vertical="center" wrapText="1"/>
    </xf>
    <xf numFmtId="4" fontId="26" fillId="0" borderId="5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vertical="center"/>
    </xf>
    <xf numFmtId="164" fontId="26" fillId="0" borderId="9" xfId="119" applyNumberFormat="1" applyFont="1" applyFill="1" applyBorder="1" applyAlignment="1">
      <alignment horizontal="center" vertical="center" wrapText="1"/>
    </xf>
    <xf numFmtId="0" fontId="26" fillId="0" borderId="9" xfId="18" applyFont="1" applyFill="1" applyBorder="1" applyAlignment="1">
      <alignment horizontal="center" vertical="center"/>
    </xf>
    <xf numFmtId="4" fontId="18" fillId="0" borderId="20" xfId="0" applyNumberFormat="1" applyFont="1" applyFill="1" applyBorder="1" applyAlignment="1">
      <alignment horizontal="center" vertical="center" wrapText="1"/>
    </xf>
    <xf numFmtId="2" fontId="26" fillId="0" borderId="5" xfId="0" applyNumberFormat="1" applyFont="1" applyFill="1" applyBorder="1" applyAlignment="1">
      <alignment horizontal="left" vertical="center" wrapText="1"/>
    </xf>
    <xf numFmtId="4" fontId="24" fillId="0" borderId="5" xfId="0" applyNumberFormat="1" applyFont="1" applyFill="1" applyBorder="1" applyAlignment="1">
      <alignment horizontal="center" vertical="center" wrapText="1"/>
    </xf>
    <xf numFmtId="167" fontId="24" fillId="0" borderId="11" xfId="0" applyNumberFormat="1" applyFont="1" applyFill="1" applyBorder="1" applyAlignment="1">
      <alignment horizontal="left" vertical="center" wrapText="1"/>
    </xf>
    <xf numFmtId="167" fontId="26" fillId="0" borderId="11" xfId="0" applyNumberFormat="1" applyFont="1" applyFill="1" applyBorder="1" applyAlignment="1">
      <alignment horizontal="left" vertical="center" wrapText="1"/>
    </xf>
    <xf numFmtId="4" fontId="24" fillId="0" borderId="20" xfId="0" applyNumberFormat="1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left" vertical="center" wrapText="1"/>
    </xf>
    <xf numFmtId="4" fontId="24" fillId="0" borderId="22" xfId="0" applyNumberFormat="1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left" vertical="center" wrapText="1"/>
    </xf>
    <xf numFmtId="4" fontId="26" fillId="0" borderId="20" xfId="0" applyNumberFormat="1" applyFont="1" applyFill="1" applyBorder="1" applyAlignment="1">
      <alignment horizontal="center" vertical="center" wrapText="1"/>
    </xf>
    <xf numFmtId="167" fontId="26" fillId="0" borderId="20" xfId="0" applyNumberFormat="1" applyFont="1" applyFill="1" applyBorder="1" applyAlignment="1">
      <alignment horizontal="center" vertical="center" wrapText="1"/>
    </xf>
    <xf numFmtId="4" fontId="24" fillId="0" borderId="6" xfId="0" applyNumberFormat="1" applyFont="1" applyFill="1" applyBorder="1" applyAlignment="1">
      <alignment horizontal="center" vertical="center"/>
    </xf>
    <xf numFmtId="2" fontId="24" fillId="0" borderId="20" xfId="0" applyNumberFormat="1" applyFont="1" applyFill="1" applyBorder="1" applyAlignment="1">
      <alignment horizontal="left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4" fontId="24" fillId="0" borderId="20" xfId="0" applyNumberFormat="1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vertical="center"/>
    </xf>
    <xf numFmtId="169" fontId="24" fillId="0" borderId="20" xfId="392" applyNumberFormat="1" applyFont="1" applyFill="1" applyBorder="1" applyAlignment="1">
      <alignment horizontal="left" vertical="center"/>
    </xf>
    <xf numFmtId="4" fontId="21" fillId="0" borderId="1" xfId="1" applyNumberFormat="1" applyFont="1" applyFill="1" applyBorder="1" applyAlignment="1" applyProtection="1">
      <alignment horizontal="center" vertical="center"/>
    </xf>
    <xf numFmtId="4" fontId="21" fillId="0" borderId="9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2" fontId="18" fillId="0" borderId="0" xfId="0" applyNumberFormat="1" applyFont="1" applyFill="1" applyAlignment="1">
      <alignment horizontal="center" vertical="center"/>
    </xf>
    <xf numFmtId="2" fontId="26" fillId="0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21" fillId="0" borderId="21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vertical="center"/>
    </xf>
    <xf numFmtId="0" fontId="25" fillId="3" borderId="21" xfId="0" applyFont="1" applyFill="1" applyBorder="1" applyAlignment="1">
      <alignment horizontal="left" vertical="center" wrapText="1"/>
    </xf>
    <xf numFmtId="2" fontId="25" fillId="0" borderId="21" xfId="392" applyNumberFormat="1" applyFont="1" applyFill="1" applyBorder="1" applyAlignment="1">
      <alignment horizontal="left" vertical="center"/>
    </xf>
    <xf numFmtId="0" fontId="29" fillId="0" borderId="21" xfId="0" applyFont="1" applyFill="1" applyBorder="1" applyAlignment="1">
      <alignment vertical="center" wrapText="1"/>
    </xf>
    <xf numFmtId="4" fontId="29" fillId="0" borderId="21" xfId="0" applyNumberFormat="1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left" vertical="center" wrapText="1"/>
    </xf>
    <xf numFmtId="0" fontId="26" fillId="0" borderId="21" xfId="0" applyFont="1" applyFill="1" applyBorder="1" applyAlignment="1">
      <alignment vertical="center"/>
    </xf>
    <xf numFmtId="0" fontId="18" fillId="0" borderId="21" xfId="0" applyFont="1" applyBorder="1" applyAlignment="1">
      <alignment horizontal="left" vertical="center"/>
    </xf>
    <xf numFmtId="0" fontId="29" fillId="0" borderId="23" xfId="0" applyFont="1" applyFill="1" applyBorder="1" applyAlignment="1">
      <alignment vertical="center" wrapText="1"/>
    </xf>
    <xf numFmtId="4" fontId="29" fillId="0" borderId="23" xfId="0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vertical="center"/>
    </xf>
    <xf numFmtId="0" fontId="24" fillId="3" borderId="24" xfId="392" applyFont="1" applyFill="1" applyBorder="1" applyAlignment="1">
      <alignment horizontal="left" vertical="center"/>
    </xf>
    <xf numFmtId="2" fontId="24" fillId="0" borderId="24" xfId="392" applyNumberFormat="1" applyFont="1" applyFill="1" applyBorder="1" applyAlignment="1">
      <alignment horizontal="left" vertical="center"/>
    </xf>
    <xf numFmtId="0" fontId="25" fillId="0" borderId="23" xfId="0" applyFont="1" applyFill="1" applyBorder="1" applyAlignment="1">
      <alignment horizontal="left" vertical="center" wrapText="1"/>
    </xf>
    <xf numFmtId="4" fontId="26" fillId="0" borderId="24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vertical="center" wrapText="1"/>
    </xf>
    <xf numFmtId="167" fontId="26" fillId="0" borderId="24" xfId="0" applyNumberFormat="1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left" vertical="center" wrapText="1"/>
    </xf>
    <xf numFmtId="0" fontId="26" fillId="0" borderId="24" xfId="0" applyFont="1" applyFill="1" applyBorder="1" applyAlignment="1">
      <alignment horizontal="left" vertical="center" wrapText="1"/>
    </xf>
    <xf numFmtId="167" fontId="24" fillId="0" borderId="24" xfId="0" applyNumberFormat="1" applyFont="1" applyFill="1" applyBorder="1" applyAlignment="1">
      <alignment horizontal="left" vertical="center" wrapText="1"/>
    </xf>
    <xf numFmtId="0" fontId="18" fillId="0" borderId="24" xfId="0" applyFont="1" applyBorder="1" applyAlignment="1">
      <alignment horizontal="left" vertical="center"/>
    </xf>
    <xf numFmtId="2" fontId="18" fillId="0" borderId="24" xfId="0" applyNumberFormat="1" applyFont="1" applyFill="1" applyBorder="1" applyAlignment="1">
      <alignment horizontal="left" vertical="center"/>
    </xf>
    <xf numFmtId="4" fontId="25" fillId="0" borderId="5" xfId="0" applyNumberFormat="1" applyFont="1" applyFill="1" applyBorder="1" applyAlignment="1">
      <alignment horizontal="center" vertical="center"/>
    </xf>
    <xf numFmtId="2" fontId="24" fillId="0" borderId="23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left" vertical="center" wrapText="1"/>
    </xf>
    <xf numFmtId="4" fontId="33" fillId="0" borderId="23" xfId="0" applyNumberFormat="1" applyFont="1" applyFill="1" applyBorder="1" applyAlignment="1">
      <alignment horizontal="center" vertical="center"/>
    </xf>
    <xf numFmtId="2" fontId="18" fillId="0" borderId="24" xfId="0" applyNumberFormat="1" applyFont="1" applyFill="1" applyBorder="1" applyAlignment="1">
      <alignment horizontal="left" vertical="center" wrapText="1"/>
    </xf>
    <xf numFmtId="0" fontId="26" fillId="0" borderId="23" xfId="0" applyFont="1" applyFill="1" applyBorder="1" applyAlignment="1">
      <alignment horizontal="left" vertical="center" wrapText="1"/>
    </xf>
    <xf numFmtId="4" fontId="24" fillId="0" borderId="23" xfId="0" applyNumberFormat="1" applyFont="1" applyFill="1" applyBorder="1" applyAlignment="1">
      <alignment horizontal="center" vertical="center"/>
    </xf>
    <xf numFmtId="0" fontId="33" fillId="3" borderId="24" xfId="392" applyFont="1" applyFill="1" applyBorder="1" applyAlignment="1">
      <alignment horizontal="left" vertical="center"/>
    </xf>
    <xf numFmtId="170" fontId="33" fillId="0" borderId="24" xfId="392" applyNumberFormat="1" applyFont="1" applyFill="1" applyBorder="1" applyAlignment="1">
      <alignment horizontal="left" vertical="center"/>
    </xf>
    <xf numFmtId="2" fontId="24" fillId="0" borderId="25" xfId="0" applyNumberFormat="1" applyFont="1" applyFill="1" applyBorder="1" applyAlignment="1">
      <alignment horizontal="center" vertical="center" wrapText="1"/>
    </xf>
    <xf numFmtId="2" fontId="18" fillId="0" borderId="24" xfId="0" applyNumberFormat="1" applyFont="1" applyBorder="1" applyAlignment="1">
      <alignment horizontal="left" vertical="center"/>
    </xf>
    <xf numFmtId="0" fontId="21" fillId="0" borderId="23" xfId="0" applyFont="1" applyFill="1" applyBorder="1" applyAlignment="1">
      <alignment vertical="center" wrapText="1"/>
    </xf>
    <xf numFmtId="4" fontId="25" fillId="0" borderId="23" xfId="0" applyNumberFormat="1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4" fontId="21" fillId="0" borderId="26" xfId="0" applyNumberFormat="1" applyFont="1" applyFill="1" applyBorder="1" applyAlignment="1">
      <alignment horizontal="center" vertical="center" wrapText="1"/>
    </xf>
    <xf numFmtId="2" fontId="25" fillId="0" borderId="27" xfId="0" applyNumberFormat="1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left" vertical="center" wrapText="1"/>
    </xf>
    <xf numFmtId="0" fontId="26" fillId="0" borderId="25" xfId="0" applyFont="1" applyFill="1" applyBorder="1" applyAlignment="1">
      <alignment vertical="center" wrapText="1"/>
    </xf>
    <xf numFmtId="4" fontId="26" fillId="0" borderId="23" xfId="0" applyNumberFormat="1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vertical="center"/>
    </xf>
    <xf numFmtId="0" fontId="26" fillId="0" borderId="23" xfId="0" applyFont="1" applyFill="1" applyBorder="1" applyAlignment="1">
      <alignment vertical="center" wrapText="1"/>
    </xf>
    <xf numFmtId="4" fontId="18" fillId="0" borderId="24" xfId="0" applyNumberFormat="1" applyFont="1" applyFill="1" applyBorder="1" applyAlignment="1">
      <alignment horizontal="center" vertical="center" wrapText="1"/>
    </xf>
    <xf numFmtId="2" fontId="24" fillId="0" borderId="5" xfId="0" applyNumberFormat="1" applyFont="1" applyFill="1" applyBorder="1" applyAlignment="1">
      <alignment horizontal="left" vertical="center" wrapText="1"/>
    </xf>
    <xf numFmtId="167" fontId="26" fillId="0" borderId="5" xfId="0" applyNumberFormat="1" applyFont="1" applyFill="1" applyBorder="1" applyAlignment="1">
      <alignment horizontal="center" vertical="center" wrapText="1"/>
    </xf>
    <xf numFmtId="4" fontId="24" fillId="0" borderId="24" xfId="0" applyNumberFormat="1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6" fillId="0" borderId="26" xfId="0" applyFont="1" applyFill="1" applyBorder="1" applyAlignment="1">
      <alignment vertical="center" wrapText="1"/>
    </xf>
    <xf numFmtId="0" fontId="26" fillId="0" borderId="24" xfId="0" applyFont="1" applyFill="1" applyBorder="1" applyAlignment="1">
      <alignment vertical="center" wrapText="1"/>
    </xf>
    <xf numFmtId="4" fontId="24" fillId="0" borderId="28" xfId="0" applyNumberFormat="1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vertical="center" wrapText="1"/>
    </xf>
    <xf numFmtId="4" fontId="31" fillId="0" borderId="23" xfId="0" applyNumberFormat="1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vertical="center" wrapText="1"/>
    </xf>
    <xf numFmtId="2" fontId="24" fillId="0" borderId="24" xfId="0" applyNumberFormat="1" applyFont="1" applyFill="1" applyBorder="1" applyAlignment="1">
      <alignment horizontal="left" vertical="center" wrapText="1"/>
    </xf>
    <xf numFmtId="0" fontId="32" fillId="0" borderId="24" xfId="0" applyFont="1" applyFill="1" applyBorder="1" applyAlignment="1">
      <alignment vertical="center"/>
    </xf>
    <xf numFmtId="2" fontId="26" fillId="0" borderId="24" xfId="0" applyNumberFormat="1" applyFont="1" applyFill="1" applyBorder="1" applyAlignment="1">
      <alignment horizontal="left" vertical="center" wrapText="1"/>
    </xf>
    <xf numFmtId="0" fontId="26" fillId="0" borderId="24" xfId="0" applyFont="1" applyFill="1" applyBorder="1" applyAlignment="1">
      <alignment vertical="center"/>
    </xf>
    <xf numFmtId="0" fontId="24" fillId="0" borderId="24" xfId="100" applyFont="1" applyFill="1" applyBorder="1" applyAlignment="1">
      <alignment horizontal="left" vertical="center" wrapText="1"/>
    </xf>
    <xf numFmtId="4" fontId="26" fillId="0" borderId="28" xfId="0" applyNumberFormat="1" applyFont="1" applyFill="1" applyBorder="1" applyAlignment="1">
      <alignment horizontal="center" vertical="center"/>
    </xf>
    <xf numFmtId="2" fontId="26" fillId="0" borderId="23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6" fillId="0" borderId="23" xfId="0" applyFont="1" applyFill="1" applyBorder="1" applyAlignment="1">
      <alignment vertical="center"/>
    </xf>
    <xf numFmtId="4" fontId="24" fillId="0" borderId="24" xfId="0" applyNumberFormat="1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vertical="center"/>
    </xf>
    <xf numFmtId="0" fontId="26" fillId="0" borderId="26" xfId="0" applyFont="1" applyFill="1" applyBorder="1" applyAlignment="1">
      <alignment vertical="center"/>
    </xf>
    <xf numFmtId="4" fontId="24" fillId="0" borderId="26" xfId="0" applyNumberFormat="1" applyFont="1" applyFill="1" applyBorder="1" applyAlignment="1">
      <alignment horizontal="center" vertical="center"/>
    </xf>
    <xf numFmtId="2" fontId="24" fillId="0" borderId="26" xfId="0" applyNumberFormat="1" applyFont="1" applyFill="1" applyBorder="1" applyAlignment="1">
      <alignment horizontal="center" vertical="center" wrapText="1"/>
    </xf>
    <xf numFmtId="4" fontId="26" fillId="0" borderId="23" xfId="0" applyNumberFormat="1" applyFont="1" applyFill="1" applyBorder="1" applyAlignment="1">
      <alignment horizontal="center" vertical="center" wrapText="1"/>
    </xf>
    <xf numFmtId="4" fontId="21" fillId="0" borderId="23" xfId="0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left" vertical="center"/>
    </xf>
    <xf numFmtId="2" fontId="26" fillId="0" borderId="23" xfId="0" applyNumberFormat="1" applyFont="1" applyFill="1" applyBorder="1" applyAlignment="1">
      <alignment horizontal="left" vertical="center"/>
    </xf>
    <xf numFmtId="4" fontId="26" fillId="0" borderId="24" xfId="0" applyNumberFormat="1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left" vertical="center"/>
    </xf>
    <xf numFmtId="4" fontId="21" fillId="0" borderId="23" xfId="31" applyNumberFormat="1" applyFont="1" applyFill="1" applyBorder="1" applyAlignment="1" applyProtection="1">
      <alignment horizontal="center" vertical="center"/>
    </xf>
    <xf numFmtId="165" fontId="26" fillId="0" borderId="23" xfId="31" applyNumberFormat="1" applyFont="1" applyFill="1" applyBorder="1" applyAlignment="1" applyProtection="1">
      <alignment horizontal="center" vertical="center" wrapText="1"/>
    </xf>
    <xf numFmtId="4" fontId="21" fillId="0" borderId="23" xfId="0" applyNumberFormat="1" applyFont="1" applyFill="1" applyBorder="1" applyAlignment="1">
      <alignment horizontal="center" vertical="center" wrapText="1"/>
    </xf>
    <xf numFmtId="0" fontId="25" fillId="0" borderId="24" xfId="18" applyFont="1" applyFill="1" applyBorder="1" applyAlignment="1">
      <alignment horizontal="left" vertical="center" wrapText="1"/>
    </xf>
    <xf numFmtId="4" fontId="25" fillId="0" borderId="24" xfId="18" applyNumberFormat="1" applyFont="1" applyFill="1" applyBorder="1" applyAlignment="1">
      <alignment horizontal="center" vertical="center" wrapText="1"/>
    </xf>
    <xf numFmtId="0" fontId="24" fillId="0" borderId="24" xfId="18" applyFont="1" applyFill="1" applyBorder="1" applyAlignment="1">
      <alignment horizontal="center" vertical="center" wrapText="1"/>
    </xf>
    <xf numFmtId="0" fontId="26" fillId="0" borderId="24" xfId="18" applyFont="1" applyFill="1" applyBorder="1" applyAlignment="1">
      <alignment horizontal="center" vertical="center"/>
    </xf>
    <xf numFmtId="0" fontId="25" fillId="0" borderId="0" xfId="18" applyFont="1" applyFill="1" applyBorder="1" applyAlignment="1">
      <alignment horizontal="left" vertical="center" wrapText="1"/>
    </xf>
    <xf numFmtId="167" fontId="25" fillId="0" borderId="0" xfId="18" applyNumberFormat="1" applyFont="1" applyFill="1" applyBorder="1" applyAlignment="1">
      <alignment horizontal="center" vertical="center" wrapText="1"/>
    </xf>
    <xf numFmtId="0" fontId="24" fillId="0" borderId="0" xfId="18" applyFont="1" applyFill="1" applyBorder="1" applyAlignment="1">
      <alignment horizontal="center" vertical="center" wrapText="1"/>
    </xf>
    <xf numFmtId="0" fontId="26" fillId="0" borderId="0" xfId="18" applyFont="1" applyFill="1" applyBorder="1" applyAlignment="1">
      <alignment horizontal="center" vertical="center"/>
    </xf>
    <xf numFmtId="167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167" fontId="24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4" fontId="2" fillId="0" borderId="24" xfId="0" applyNumberFormat="1" applyFont="1" applyFill="1" applyBorder="1" applyAlignment="1">
      <alignment horizontal="center" vertical="center"/>
    </xf>
    <xf numFmtId="2" fontId="2" fillId="0" borderId="24" xfId="0" applyNumberFormat="1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vertical="center" wrapText="1"/>
    </xf>
    <xf numFmtId="2" fontId="26" fillId="0" borderId="1" xfId="0" applyNumberFormat="1" applyFont="1" applyFill="1" applyBorder="1" applyAlignment="1">
      <alignment horizontal="left" vertical="center"/>
    </xf>
    <xf numFmtId="2" fontId="26" fillId="0" borderId="10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left" vertical="center" wrapText="1"/>
    </xf>
    <xf numFmtId="0" fontId="2" fillId="0" borderId="0" xfId="0" applyFont="1" applyFill="1"/>
    <xf numFmtId="4" fontId="26" fillId="0" borderId="0" xfId="0" applyNumberFormat="1" applyFont="1" applyFill="1"/>
    <xf numFmtId="0" fontId="2" fillId="0" borderId="0" xfId="0" applyFont="1" applyFill="1" applyBorder="1" applyAlignment="1">
      <alignment horizontal="center" vertical="center" wrapText="1"/>
    </xf>
    <xf numFmtId="4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wrapText="1"/>
    </xf>
    <xf numFmtId="4" fontId="26" fillId="0" borderId="0" xfId="0" applyNumberFormat="1" applyFont="1" applyFill="1" applyAlignment="1">
      <alignment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 wrapText="1"/>
    </xf>
    <xf numFmtId="4" fontId="5" fillId="0" borderId="24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vertical="center"/>
    </xf>
    <xf numFmtId="4" fontId="5" fillId="0" borderId="2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 vertical="center" wrapText="1"/>
    </xf>
    <xf numFmtId="4" fontId="5" fillId="0" borderId="24" xfId="0" applyNumberFormat="1" applyFont="1" applyFill="1" applyBorder="1" applyAlignment="1">
      <alignment horizontal="center" vertical="center" wrapText="1"/>
    </xf>
    <xf numFmtId="167" fontId="5" fillId="0" borderId="24" xfId="0" applyNumberFormat="1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left" vertical="center" wrapText="1"/>
    </xf>
    <xf numFmtId="2" fontId="5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left" vertical="center" wrapText="1"/>
    </xf>
    <xf numFmtId="4" fontId="5" fillId="0" borderId="23" xfId="0" applyNumberFormat="1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 wrapText="1"/>
    </xf>
    <xf numFmtId="2" fontId="5" fillId="0" borderId="25" xfId="0" applyNumberFormat="1" applyFont="1" applyFill="1" applyBorder="1" applyAlignment="1">
      <alignment horizontal="center" vertical="center" wrapText="1"/>
    </xf>
    <xf numFmtId="0" fontId="26" fillId="0" borderId="24" xfId="0" applyFont="1" applyFill="1" applyBorder="1"/>
    <xf numFmtId="0" fontId="8" fillId="0" borderId="23" xfId="0" applyFont="1" applyFill="1" applyBorder="1" applyAlignment="1">
      <alignment vertical="center" wrapText="1"/>
    </xf>
    <xf numFmtId="4" fontId="3" fillId="0" borderId="23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2" fontId="5" fillId="0" borderId="5" xfId="0" applyNumberFormat="1" applyFont="1" applyFill="1" applyBorder="1" applyAlignment="1">
      <alignment horizontal="left" vertical="center" wrapText="1"/>
    </xf>
    <xf numFmtId="4" fontId="26" fillId="0" borderId="5" xfId="0" applyNumberFormat="1" applyFont="1" applyFill="1" applyBorder="1" applyAlignment="1">
      <alignment horizontal="center" vertical="center" wrapText="1"/>
    </xf>
    <xf numFmtId="4" fontId="22" fillId="0" borderId="0" xfId="0" applyNumberFormat="1" applyFont="1" applyFill="1"/>
    <xf numFmtId="0" fontId="26" fillId="0" borderId="0" xfId="0" applyFont="1" applyFill="1" applyBorder="1"/>
    <xf numFmtId="0" fontId="5" fillId="0" borderId="24" xfId="0" applyFont="1" applyFill="1" applyBorder="1" applyAlignment="1">
      <alignment vertical="center" wrapText="1"/>
    </xf>
    <xf numFmtId="4" fontId="5" fillId="0" borderId="28" xfId="0" applyNumberFormat="1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left" vertical="center"/>
    </xf>
    <xf numFmtId="167" fontId="5" fillId="0" borderId="24" xfId="0" applyNumberFormat="1" applyFont="1" applyFill="1" applyBorder="1" applyAlignment="1">
      <alignment horizontal="left" vertical="center" wrapText="1"/>
    </xf>
    <xf numFmtId="49" fontId="5" fillId="0" borderId="24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4" fontId="2" fillId="0" borderId="23" xfId="0" applyNumberFormat="1" applyFont="1" applyFill="1" applyBorder="1" applyAlignment="1">
      <alignment horizontal="center" vertical="center"/>
    </xf>
    <xf numFmtId="2" fontId="2" fillId="0" borderId="23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vertical="center" wrapText="1"/>
    </xf>
    <xf numFmtId="2" fontId="5" fillId="0" borderId="24" xfId="0" applyNumberFormat="1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vertical="center"/>
    </xf>
    <xf numFmtId="4" fontId="12" fillId="0" borderId="0" xfId="0" applyNumberFormat="1" applyFont="1" applyFill="1"/>
    <xf numFmtId="0" fontId="5" fillId="0" borderId="23" xfId="0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2" fontId="5" fillId="0" borderId="2" xfId="0" applyNumberFormat="1" applyFont="1" applyFill="1" applyBorder="1" applyAlignment="1">
      <alignment horizontal="center" vertical="center" wrapText="1"/>
    </xf>
    <xf numFmtId="4" fontId="5" fillId="0" borderId="23" xfId="0" applyNumberFormat="1" applyFont="1" applyFill="1" applyBorder="1" applyAlignment="1">
      <alignment horizontal="center" vertical="center" wrapText="1"/>
    </xf>
    <xf numFmtId="4" fontId="2" fillId="0" borderId="23" xfId="0" applyNumberFormat="1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left" vertical="center"/>
    </xf>
    <xf numFmtId="2" fontId="5" fillId="0" borderId="23" xfId="0" applyNumberFormat="1" applyFont="1" applyFill="1" applyBorder="1" applyAlignment="1">
      <alignment horizontal="left" vertical="center"/>
    </xf>
    <xf numFmtId="164" fontId="2" fillId="0" borderId="0" xfId="0" applyNumberFormat="1" applyFont="1" applyFill="1" applyBorder="1" applyAlignment="1">
      <alignment horizontal="center"/>
    </xf>
    <xf numFmtId="0" fontId="3" fillId="0" borderId="23" xfId="0" applyFont="1" applyFill="1" applyBorder="1" applyAlignment="1">
      <alignment horizontal="left" vertical="center"/>
    </xf>
    <xf numFmtId="4" fontId="2" fillId="0" borderId="23" xfId="31" applyNumberFormat="1" applyFont="1" applyFill="1" applyBorder="1" applyAlignment="1" applyProtection="1">
      <alignment horizontal="center" vertical="center"/>
    </xf>
    <xf numFmtId="165" fontId="2" fillId="0" borderId="23" xfId="31" applyNumberFormat="1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>
      <alignment horizontal="left" vertical="center"/>
    </xf>
    <xf numFmtId="4" fontId="3" fillId="0" borderId="23" xfId="0" applyNumberFormat="1" applyFont="1" applyFill="1" applyBorder="1" applyAlignment="1">
      <alignment horizontal="center" vertical="center" wrapText="1"/>
    </xf>
    <xf numFmtId="0" fontId="21" fillId="0" borderId="24" xfId="18" applyFont="1" applyFill="1" applyBorder="1" applyAlignment="1">
      <alignment horizontal="left" vertical="center" wrapText="1"/>
    </xf>
    <xf numFmtId="4" fontId="21" fillId="0" borderId="24" xfId="18" applyNumberFormat="1" applyFont="1" applyFill="1" applyBorder="1" applyAlignment="1">
      <alignment horizontal="center" vertical="center" wrapText="1"/>
    </xf>
    <xf numFmtId="0" fontId="26" fillId="0" borderId="24" xfId="18" applyFont="1" applyFill="1" applyBorder="1" applyAlignment="1">
      <alignment horizontal="center" vertical="center" wrapText="1"/>
    </xf>
    <xf numFmtId="0" fontId="5" fillId="0" borderId="24" xfId="18" applyFont="1" applyFill="1" applyBorder="1" applyAlignment="1">
      <alignment horizontal="center" vertical="center"/>
    </xf>
    <xf numFmtId="0" fontId="21" fillId="0" borderId="0" xfId="18" applyFont="1" applyFill="1" applyBorder="1" applyAlignment="1">
      <alignment horizontal="left" vertical="center" wrapText="1"/>
    </xf>
    <xf numFmtId="167" fontId="21" fillId="0" borderId="0" xfId="18" applyNumberFormat="1" applyFont="1" applyFill="1" applyBorder="1" applyAlignment="1">
      <alignment horizontal="center" vertical="center" wrapText="1"/>
    </xf>
    <xf numFmtId="0" fontId="26" fillId="0" borderId="0" xfId="18" applyFont="1" applyFill="1" applyBorder="1" applyAlignment="1">
      <alignment horizontal="center" vertical="center" wrapText="1"/>
    </xf>
    <xf numFmtId="0" fontId="5" fillId="0" borderId="0" xfId="18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vertical="center" wrapText="1"/>
    </xf>
    <xf numFmtId="43" fontId="34" fillId="0" borderId="17" xfId="127" applyNumberFormat="1" applyFont="1" applyBorder="1"/>
    <xf numFmtId="4" fontId="3" fillId="0" borderId="23" xfId="31" applyNumberFormat="1" applyFont="1" applyFill="1" applyBorder="1" applyAlignment="1" applyProtection="1">
      <alignment horizontal="center" vertical="center"/>
    </xf>
    <xf numFmtId="4" fontId="22" fillId="0" borderId="5" xfId="0" applyNumberFormat="1" applyFont="1" applyFill="1" applyBorder="1" applyAlignment="1">
      <alignment horizontal="center" vertical="center"/>
    </xf>
    <xf numFmtId="4" fontId="26" fillId="0" borderId="25" xfId="0" applyNumberFormat="1" applyFont="1" applyFill="1" applyBorder="1" applyAlignment="1">
      <alignment horizontal="center" vertical="center" wrapText="1"/>
    </xf>
    <xf numFmtId="2" fontId="26" fillId="0" borderId="2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4" fontId="22" fillId="0" borderId="24" xfId="0" applyNumberFormat="1" applyFont="1" applyFill="1" applyBorder="1" applyAlignment="1">
      <alignment horizontal="center" vertical="center"/>
    </xf>
    <xf numFmtId="2" fontId="5" fillId="0" borderId="24" xfId="0" applyNumberFormat="1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4" fontId="22" fillId="0" borderId="23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2" fontId="18" fillId="0" borderId="0" xfId="0" applyNumberFormat="1" applyFont="1" applyFill="1" applyBorder="1" applyAlignment="1">
      <alignment horizontal="left" vertical="center"/>
    </xf>
    <xf numFmtId="4" fontId="24" fillId="0" borderId="18" xfId="0" applyNumberFormat="1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vertical="center" wrapText="1"/>
    </xf>
    <xf numFmtId="4" fontId="24" fillId="0" borderId="4" xfId="0" applyNumberFormat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left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vertical="center"/>
    </xf>
    <xf numFmtId="0" fontId="29" fillId="0" borderId="24" xfId="0" applyFont="1" applyFill="1" applyBorder="1" applyAlignment="1">
      <alignment vertical="center" wrapText="1"/>
    </xf>
    <xf numFmtId="4" fontId="26" fillId="0" borderId="24" xfId="0" applyNumberFormat="1" applyFont="1" applyFill="1" applyBorder="1" applyAlignment="1">
      <alignment horizontal="center"/>
    </xf>
    <xf numFmtId="4" fontId="21" fillId="0" borderId="5" xfId="0" applyNumberFormat="1" applyFont="1" applyFill="1" applyBorder="1" applyAlignment="1">
      <alignment horizontal="center" vertical="center"/>
    </xf>
    <xf numFmtId="2" fontId="21" fillId="0" borderId="12" xfId="0" applyNumberFormat="1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left" vertical="center"/>
    </xf>
    <xf numFmtId="167" fontId="26" fillId="0" borderId="24" xfId="0" applyNumberFormat="1" applyFont="1" applyFill="1" applyBorder="1" applyAlignment="1">
      <alignment horizontal="left" vertical="center" wrapText="1"/>
    </xf>
    <xf numFmtId="0" fontId="32" fillId="0" borderId="0" xfId="0" applyFont="1" applyFill="1"/>
    <xf numFmtId="4" fontId="26" fillId="0" borderId="2" xfId="0" applyNumberFormat="1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 vertical="center" wrapText="1"/>
    </xf>
    <xf numFmtId="0" fontId="21" fillId="0" borderId="0" xfId="0" applyFont="1" applyFill="1"/>
    <xf numFmtId="0" fontId="26" fillId="0" borderId="0" xfId="0" applyFont="1" applyFill="1" applyAlignment="1">
      <alignment horizontal="center"/>
    </xf>
    <xf numFmtId="0" fontId="5" fillId="0" borderId="0" xfId="392" applyFont="1" applyFill="1" applyBorder="1"/>
    <xf numFmtId="0" fontId="26" fillId="0" borderId="0" xfId="0" applyFont="1" applyFill="1" applyBorder="1" applyAlignment="1">
      <alignment wrapText="1"/>
    </xf>
    <xf numFmtId="0" fontId="25" fillId="0" borderId="24" xfId="392" applyFont="1" applyFill="1" applyBorder="1" applyAlignment="1">
      <alignment horizontal="left" vertical="center"/>
    </xf>
    <xf numFmtId="0" fontId="24" fillId="0" borderId="24" xfId="392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left" vertical="center"/>
    </xf>
    <xf numFmtId="0" fontId="23" fillId="0" borderId="24" xfId="0" applyFont="1" applyFill="1" applyBorder="1" applyAlignment="1">
      <alignment vertical="center"/>
    </xf>
    <xf numFmtId="4" fontId="7" fillId="0" borderId="24" xfId="0" applyNumberFormat="1" applyFont="1" applyFill="1" applyBorder="1" applyAlignment="1">
      <alignment horizontal="center" vertical="center"/>
    </xf>
    <xf numFmtId="167" fontId="7" fillId="0" borderId="24" xfId="0" applyNumberFormat="1" applyFont="1" applyFill="1" applyBorder="1" applyAlignment="1">
      <alignment horizontal="center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4" xfId="100" applyFont="1" applyFill="1" applyBorder="1" applyAlignment="1">
      <alignment horizontal="left" vertical="center" wrapText="1"/>
    </xf>
    <xf numFmtId="4" fontId="7" fillId="0" borderId="24" xfId="0" applyNumberFormat="1" applyFont="1" applyFill="1" applyBorder="1" applyAlignment="1">
      <alignment horizontal="center" vertical="center" wrapText="1"/>
    </xf>
    <xf numFmtId="167" fontId="25" fillId="0" borderId="24" xfId="18" applyNumberFormat="1" applyFont="1" applyFill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164" fontId="26" fillId="0" borderId="24" xfId="119" applyNumberFormat="1" applyFont="1" applyFill="1" applyBorder="1" applyAlignment="1">
      <alignment horizontal="center" vertical="center" wrapText="1"/>
    </xf>
    <xf numFmtId="4" fontId="26" fillId="0" borderId="1" xfId="1" applyNumberFormat="1" applyFont="1" applyFill="1" applyBorder="1" applyAlignment="1" applyProtection="1">
      <alignment horizontal="center" vertical="center"/>
    </xf>
    <xf numFmtId="0" fontId="0" fillId="0" borderId="0" xfId="0" applyFont="1" applyFill="1"/>
    <xf numFmtId="167" fontId="24" fillId="0" borderId="24" xfId="0" applyNumberFormat="1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4" fontId="3" fillId="0" borderId="1" xfId="1" applyNumberFormat="1" applyFont="1" applyFill="1" applyBorder="1" applyAlignment="1" applyProtection="1">
      <alignment horizontal="center" vertical="center"/>
    </xf>
    <xf numFmtId="4" fontId="26" fillId="0" borderId="6" xfId="0" applyNumberFormat="1" applyFont="1" applyFill="1" applyBorder="1" applyAlignment="1">
      <alignment horizontal="center" vertical="center"/>
    </xf>
    <xf numFmtId="4" fontId="30" fillId="0" borderId="1" xfId="0" applyNumberFormat="1" applyFont="1" applyFill="1" applyBorder="1" applyAlignment="1">
      <alignment horizontal="center" vertical="center"/>
    </xf>
    <xf numFmtId="2" fontId="26" fillId="0" borderId="20" xfId="0" applyNumberFormat="1" applyFont="1" applyFill="1" applyBorder="1" applyAlignment="1">
      <alignment horizontal="left" vertical="center" wrapText="1"/>
    </xf>
    <xf numFmtId="4" fontId="23" fillId="0" borderId="20" xfId="0" applyNumberFormat="1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vertical="center"/>
    </xf>
    <xf numFmtId="4" fontId="7" fillId="0" borderId="5" xfId="0" applyNumberFormat="1" applyFont="1" applyFill="1" applyBorder="1" applyAlignment="1">
      <alignment horizontal="center" vertical="center" wrapText="1"/>
    </xf>
    <xf numFmtId="4" fontId="7" fillId="0" borderId="20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left" vertical="center" wrapText="1"/>
    </xf>
    <xf numFmtId="4" fontId="7" fillId="0" borderId="22" xfId="0" applyNumberFormat="1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vertical="center" wrapText="1"/>
    </xf>
    <xf numFmtId="4" fontId="5" fillId="0" borderId="20" xfId="0" applyNumberFormat="1" applyFont="1" applyFill="1" applyBorder="1" applyAlignment="1">
      <alignment horizontal="center" vertical="center" wrapText="1"/>
    </xf>
    <xf numFmtId="167" fontId="5" fillId="0" borderId="20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 wrapText="1"/>
    </xf>
    <xf numFmtId="4" fontId="36" fillId="0" borderId="1" xfId="0" applyNumberFormat="1" applyFont="1" applyFill="1" applyBorder="1" applyAlignment="1">
      <alignment horizontal="center" vertical="center"/>
    </xf>
    <xf numFmtId="2" fontId="7" fillId="0" borderId="20" xfId="0" applyNumberFormat="1" applyFont="1" applyFill="1" applyBorder="1" applyAlignment="1">
      <alignment horizontal="left" vertical="center" wrapText="1"/>
    </xf>
    <xf numFmtId="0" fontId="12" fillId="0" borderId="20" xfId="0" applyFont="1" applyFill="1" applyBorder="1" applyAlignment="1">
      <alignment vertical="center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20" xfId="100" applyFont="1" applyFill="1" applyBorder="1" applyAlignment="1">
      <alignment horizontal="left" vertical="center" wrapText="1"/>
    </xf>
    <xf numFmtId="4" fontId="7" fillId="0" borderId="2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9" fillId="3" borderId="24" xfId="0" applyFont="1" applyFill="1" applyBorder="1" applyAlignment="1">
      <alignment horizontal="left" vertical="center" wrapText="1"/>
    </xf>
    <xf numFmtId="0" fontId="9" fillId="0" borderId="24" xfId="392" applyFont="1" applyFill="1" applyBorder="1" applyAlignment="1">
      <alignment horizontal="left" vertical="center"/>
    </xf>
    <xf numFmtId="0" fontId="37" fillId="0" borderId="24" xfId="0" applyFont="1" applyFill="1" applyBorder="1" applyAlignment="1">
      <alignment vertical="center" wrapText="1"/>
    </xf>
    <xf numFmtId="4" fontId="37" fillId="0" borderId="24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vertical="center"/>
    </xf>
    <xf numFmtId="0" fontId="11" fillId="0" borderId="24" xfId="392" applyFont="1" applyFill="1" applyBorder="1" applyAlignment="1">
      <alignment horizontal="left" vertical="center"/>
    </xf>
    <xf numFmtId="0" fontId="20" fillId="0" borderId="24" xfId="0" applyFont="1" applyFill="1" applyBorder="1" applyAlignment="1">
      <alignment vertical="center"/>
    </xf>
    <xf numFmtId="4" fontId="9" fillId="0" borderId="24" xfId="0" applyNumberFormat="1" applyFont="1" applyFill="1" applyBorder="1" applyAlignment="1">
      <alignment horizontal="center" vertical="center"/>
    </xf>
    <xf numFmtId="2" fontId="11" fillId="0" borderId="24" xfId="0" applyNumberFormat="1" applyFont="1" applyFill="1" applyBorder="1" applyAlignment="1">
      <alignment horizontal="center" vertical="center" wrapText="1"/>
    </xf>
    <xf numFmtId="0" fontId="20" fillId="0" borderId="24" xfId="0" applyFont="1" applyBorder="1" applyAlignment="1">
      <alignment vertical="center"/>
    </xf>
    <xf numFmtId="0" fontId="20" fillId="0" borderId="24" xfId="0" applyFont="1" applyBorder="1" applyAlignment="1">
      <alignment horizontal="left" vertical="center"/>
    </xf>
    <xf numFmtId="0" fontId="37" fillId="0" borderId="24" xfId="0" applyFont="1" applyFill="1" applyBorder="1" applyAlignment="1">
      <alignment horizontal="left" vertical="center" wrapText="1"/>
    </xf>
    <xf numFmtId="4" fontId="38" fillId="0" borderId="24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left" vertical="center" wrapText="1"/>
    </xf>
    <xf numFmtId="4" fontId="11" fillId="0" borderId="24" xfId="0" applyNumberFormat="1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left" vertical="center" wrapText="1"/>
    </xf>
    <xf numFmtId="2" fontId="11" fillId="0" borderId="24" xfId="392" applyNumberFormat="1" applyFont="1" applyFill="1" applyBorder="1" applyAlignment="1">
      <alignment horizontal="lef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2" fontId="9" fillId="0" borderId="24" xfId="0" applyNumberFormat="1" applyFont="1" applyFill="1" applyBorder="1" applyAlignment="1">
      <alignment horizontal="center" vertical="center" wrapText="1"/>
    </xf>
    <xf numFmtId="4" fontId="11" fillId="0" borderId="24" xfId="392" applyNumberFormat="1" applyFont="1" applyFill="1" applyBorder="1" applyAlignment="1">
      <alignment horizontal="left" vertical="center"/>
    </xf>
    <xf numFmtId="4" fontId="20" fillId="0" borderId="24" xfId="0" applyNumberFormat="1" applyFont="1" applyFill="1" applyBorder="1" applyAlignment="1">
      <alignment horizontal="left" vertical="center"/>
    </xf>
    <xf numFmtId="4" fontId="20" fillId="0" borderId="24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left" vertical="center" wrapText="1"/>
    </xf>
    <xf numFmtId="0" fontId="20" fillId="0" borderId="24" xfId="0" applyFont="1" applyFill="1" applyBorder="1" applyAlignment="1">
      <alignment horizontal="left" vertical="center"/>
    </xf>
    <xf numFmtId="4" fontId="11" fillId="0" borderId="5" xfId="0" applyNumberFormat="1" applyFont="1" applyFill="1" applyBorder="1" applyAlignment="1">
      <alignment horizontal="center" vertical="center" wrapText="1"/>
    </xf>
    <xf numFmtId="167" fontId="2" fillId="0" borderId="11" xfId="0" applyNumberFormat="1" applyFont="1" applyFill="1" applyBorder="1" applyAlignment="1">
      <alignment horizontal="left" vertical="center" wrapText="1"/>
    </xf>
    <xf numFmtId="167" fontId="11" fillId="0" borderId="5" xfId="0" applyNumberFormat="1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2" fillId="0" borderId="2" xfId="0" applyFont="1" applyFill="1" applyBorder="1" applyAlignment="1">
      <alignment vertical="center" wrapText="1"/>
    </xf>
    <xf numFmtId="4" fontId="2" fillId="0" borderId="24" xfId="0" applyNumberFormat="1" applyFont="1" applyFill="1" applyBorder="1" applyAlignment="1">
      <alignment horizontal="center" vertical="center" wrapText="1"/>
    </xf>
    <xf numFmtId="4" fontId="11" fillId="0" borderId="6" xfId="0" applyNumberFormat="1" applyFont="1" applyFill="1" applyBorder="1" applyAlignment="1">
      <alignment horizontal="center" vertical="center"/>
    </xf>
    <xf numFmtId="167" fontId="2" fillId="0" borderId="24" xfId="0" applyNumberFormat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vertical="center"/>
    </xf>
    <xf numFmtId="167" fontId="11" fillId="0" borderId="24" xfId="0" applyNumberFormat="1" applyFont="1" applyFill="1" applyBorder="1" applyAlignment="1">
      <alignment horizontal="center" vertical="center" wrapText="1"/>
    </xf>
    <xf numFmtId="167" fontId="20" fillId="0" borderId="24" xfId="0" applyNumberFormat="1" applyFont="1" applyFill="1" applyBorder="1" applyAlignment="1">
      <alignment horizontal="left" vertical="center" wrapText="1"/>
    </xf>
    <xf numFmtId="49" fontId="2" fillId="0" borderId="24" xfId="0" applyNumberFormat="1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left" vertical="center" wrapText="1"/>
    </xf>
    <xf numFmtId="167" fontId="2" fillId="0" borderId="24" xfId="0" applyNumberFormat="1" applyFont="1" applyFill="1" applyBorder="1" applyAlignment="1">
      <alignment horizontal="left" vertical="center" wrapText="1"/>
    </xf>
    <xf numFmtId="2" fontId="3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24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24" xfId="100" applyFont="1" applyFill="1" applyBorder="1" applyAlignment="1">
      <alignment horizontal="left" vertical="center" wrapText="1"/>
    </xf>
    <xf numFmtId="4" fontId="2" fillId="0" borderId="6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4" fontId="11" fillId="0" borderId="24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4" fontId="11" fillId="0" borderId="2" xfId="0" applyNumberFormat="1" applyFont="1" applyFill="1" applyBorder="1" applyAlignment="1">
      <alignment horizontal="center" vertical="center"/>
    </xf>
    <xf numFmtId="2" fontId="11" fillId="0" borderId="2" xfId="0" applyNumberFormat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/>
    </xf>
    <xf numFmtId="4" fontId="3" fillId="0" borderId="24" xfId="0" applyNumberFormat="1" applyFont="1" applyFill="1" applyBorder="1" applyAlignment="1">
      <alignment horizontal="center" vertical="center"/>
    </xf>
    <xf numFmtId="4" fontId="3" fillId="0" borderId="24" xfId="1" applyNumberFormat="1" applyFont="1" applyFill="1" applyBorder="1" applyAlignment="1" applyProtection="1">
      <alignment horizontal="center" vertical="center"/>
    </xf>
    <xf numFmtId="165" fontId="2" fillId="0" borderId="24" xfId="1" applyNumberFormat="1" applyFont="1" applyFill="1" applyBorder="1" applyAlignment="1" applyProtection="1">
      <alignment horizontal="center" vertical="center" wrapText="1"/>
    </xf>
    <xf numFmtId="0" fontId="9" fillId="0" borderId="24" xfId="18" applyFont="1" applyFill="1" applyBorder="1" applyAlignment="1">
      <alignment horizontal="left" vertical="center" wrapText="1"/>
    </xf>
    <xf numFmtId="167" fontId="9" fillId="0" borderId="24" xfId="18" applyNumberFormat="1" applyFont="1" applyFill="1" applyBorder="1" applyAlignment="1">
      <alignment horizontal="center" vertical="center" wrapText="1"/>
    </xf>
    <xf numFmtId="0" fontId="2" fillId="0" borderId="24" xfId="18" applyFont="1" applyFill="1" applyBorder="1" applyAlignment="1">
      <alignment horizontal="center" vertical="center" wrapText="1"/>
    </xf>
    <xf numFmtId="0" fontId="2" fillId="0" borderId="24" xfId="18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167" fontId="11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3" fillId="0" borderId="24" xfId="0" applyFont="1" applyFill="1" applyBorder="1" applyAlignment="1">
      <alignment vertical="center"/>
    </xf>
    <xf numFmtId="0" fontId="25" fillId="3" borderId="24" xfId="0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 wrapText="1"/>
    </xf>
    <xf numFmtId="4" fontId="3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8" fillId="0" borderId="24" xfId="0" applyFont="1" applyBorder="1" applyAlignment="1">
      <alignment vertical="center"/>
    </xf>
    <xf numFmtId="0" fontId="37" fillId="0" borderId="1" xfId="0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left" vertical="center" wrapText="1"/>
    </xf>
    <xf numFmtId="4" fontId="24" fillId="0" borderId="24" xfId="392" applyNumberFormat="1" applyFont="1" applyFill="1" applyBorder="1" applyAlignment="1">
      <alignment horizontal="left" vertical="center"/>
    </xf>
    <xf numFmtId="4" fontId="18" fillId="0" borderId="24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/>
    </xf>
    <xf numFmtId="2" fontId="11" fillId="0" borderId="5" xfId="0" applyNumberFormat="1" applyFont="1" applyFill="1" applyBorder="1" applyAlignment="1">
      <alignment horizontal="left" vertical="center" wrapText="1"/>
    </xf>
    <xf numFmtId="167" fontId="11" fillId="0" borderId="11" xfId="0" applyNumberFormat="1" applyFont="1" applyFill="1" applyBorder="1" applyAlignment="1">
      <alignment horizontal="left" vertical="center" wrapText="1"/>
    </xf>
    <xf numFmtId="0" fontId="11" fillId="0" borderId="24" xfId="0" applyFont="1" applyFill="1" applyBorder="1" applyAlignment="1">
      <alignment horizontal="left" vertical="center" wrapText="1"/>
    </xf>
    <xf numFmtId="0" fontId="11" fillId="0" borderId="24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 wrapText="1"/>
    </xf>
    <xf numFmtId="2" fontId="11" fillId="0" borderId="24" xfId="0" applyNumberFormat="1" applyFont="1" applyFill="1" applyBorder="1" applyAlignment="1">
      <alignment horizontal="left" vertical="center" wrapText="1"/>
    </xf>
    <xf numFmtId="4" fontId="2" fillId="0" borderId="10" xfId="0" applyNumberFormat="1" applyFont="1" applyFill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left" vertical="center" wrapText="1"/>
    </xf>
    <xf numFmtId="4" fontId="2" fillId="0" borderId="24" xfId="0" applyNumberFormat="1" applyFont="1" applyFill="1" applyBorder="1" applyAlignment="1">
      <alignment horizontal="left" vertical="center" wrapText="1"/>
    </xf>
    <xf numFmtId="4" fontId="3" fillId="0" borderId="1" xfId="31" applyNumberFormat="1" applyFont="1" applyFill="1" applyBorder="1" applyAlignment="1" applyProtection="1">
      <alignment horizontal="center" vertical="center"/>
    </xf>
    <xf numFmtId="165" fontId="2" fillId="0" borderId="1" xfId="31" applyNumberFormat="1" applyFont="1" applyFill="1" applyBorder="1" applyAlignment="1" applyProtection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9" fillId="0" borderId="24" xfId="18" applyNumberFormat="1" applyFont="1" applyFill="1" applyBorder="1" applyAlignment="1">
      <alignment horizontal="center" vertical="center" wrapText="1"/>
    </xf>
    <xf numFmtId="0" fontId="11" fillId="0" borderId="24" xfId="18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vertical="center" wrapText="1"/>
    </xf>
    <xf numFmtId="4" fontId="29" fillId="0" borderId="24" xfId="0" applyNumberFormat="1" applyFont="1" applyFill="1" applyBorder="1" applyAlignment="1">
      <alignment horizontal="center"/>
    </xf>
    <xf numFmtId="0" fontId="26" fillId="0" borderId="15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vertical="center" wrapText="1"/>
    </xf>
    <xf numFmtId="4" fontId="29" fillId="0" borderId="24" xfId="0" applyNumberFormat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/>
    </xf>
    <xf numFmtId="4" fontId="41" fillId="0" borderId="24" xfId="0" applyNumberFormat="1" applyFont="1" applyFill="1" applyBorder="1" applyAlignment="1">
      <alignment horizontal="center" vertical="center"/>
    </xf>
    <xf numFmtId="0" fontId="26" fillId="0" borderId="10" xfId="2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4" fontId="25" fillId="0" borderId="24" xfId="0" applyNumberFormat="1" applyFont="1" applyFill="1" applyBorder="1" applyAlignment="1">
      <alignment horizontal="center" vertical="center"/>
    </xf>
    <xf numFmtId="2" fontId="24" fillId="0" borderId="24" xfId="0" applyNumberFormat="1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 wrapText="1"/>
    </xf>
    <xf numFmtId="2" fontId="24" fillId="0" borderId="29" xfId="0" applyNumberFormat="1" applyFont="1" applyFill="1" applyBorder="1" applyAlignment="1">
      <alignment horizontal="center" vertical="center" wrapText="1"/>
    </xf>
    <xf numFmtId="169" fontId="24" fillId="0" borderId="24" xfId="392" applyNumberFormat="1" applyFont="1" applyFill="1" applyBorder="1" applyAlignment="1">
      <alignment horizontal="left" vertical="center"/>
    </xf>
    <xf numFmtId="2" fontId="24" fillId="0" borderId="30" xfId="0" applyNumberFormat="1" applyFont="1" applyFill="1" applyBorder="1" applyAlignment="1">
      <alignment horizontal="center" vertical="center" wrapText="1"/>
    </xf>
    <xf numFmtId="4" fontId="24" fillId="0" borderId="5" xfId="0" applyNumberFormat="1" applyFont="1" applyFill="1" applyBorder="1" applyAlignment="1">
      <alignment horizontal="center" vertical="center"/>
    </xf>
    <xf numFmtId="2" fontId="24" fillId="0" borderId="11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2" fontId="26" fillId="0" borderId="10" xfId="0" applyNumberFormat="1" applyFont="1" applyFill="1" applyBorder="1" applyAlignment="1">
      <alignment horizontal="center" vertical="center"/>
    </xf>
    <xf numFmtId="167" fontId="18" fillId="0" borderId="24" xfId="0" applyNumberFormat="1" applyFont="1" applyFill="1" applyBorder="1" applyAlignment="1">
      <alignment horizontal="left" vertical="center" wrapText="1"/>
    </xf>
    <xf numFmtId="49" fontId="26" fillId="0" borderId="24" xfId="0" applyNumberFormat="1" applyFont="1" applyFill="1" applyBorder="1" applyAlignment="1">
      <alignment vertical="center" wrapText="1"/>
    </xf>
    <xf numFmtId="2" fontId="42" fillId="0" borderId="1" xfId="0" applyNumberFormat="1" applyFont="1" applyFill="1" applyBorder="1" applyAlignment="1">
      <alignment horizontal="center" vertical="center" wrapText="1"/>
    </xf>
    <xf numFmtId="4" fontId="23" fillId="0" borderId="24" xfId="0" applyNumberFormat="1" applyFont="1" applyFill="1" applyBorder="1" applyAlignment="1">
      <alignment horizontal="center" vertical="center" wrapText="1"/>
    </xf>
    <xf numFmtId="167" fontId="23" fillId="0" borderId="24" xfId="0" applyNumberFormat="1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2" fontId="43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left" vertical="center" wrapText="1"/>
    </xf>
    <xf numFmtId="4" fontId="44" fillId="0" borderId="4" xfId="0" applyNumberFormat="1" applyFont="1" applyFill="1" applyBorder="1" applyAlignment="1">
      <alignment horizontal="center" vertical="center"/>
    </xf>
    <xf numFmtId="4" fontId="4" fillId="0" borderId="9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 wrapText="1"/>
    </xf>
    <xf numFmtId="4" fontId="7" fillId="0" borderId="18" xfId="0" applyNumberFormat="1" applyFont="1" applyFill="1" applyBorder="1" applyAlignment="1">
      <alignment horizontal="center" vertical="center"/>
    </xf>
    <xf numFmtId="4" fontId="7" fillId="0" borderId="28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vertical="center" wrapText="1"/>
    </xf>
    <xf numFmtId="4" fontId="2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45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3" xfId="2" applyFont="1" applyFill="1" applyBorder="1" applyAlignment="1">
      <alignment vertical="center" wrapText="1"/>
    </xf>
    <xf numFmtId="4" fontId="7" fillId="0" borderId="23" xfId="0" applyNumberFormat="1" applyFont="1" applyFill="1" applyBorder="1" applyAlignment="1">
      <alignment horizontal="center" vertical="center"/>
    </xf>
    <xf numFmtId="2" fontId="7" fillId="0" borderId="25" xfId="0" applyNumberFormat="1" applyFont="1" applyFill="1" applyBorder="1" applyAlignment="1">
      <alignment horizontal="center" vertical="center" wrapText="1"/>
    </xf>
    <xf numFmtId="4" fontId="9" fillId="0" borderId="23" xfId="0" applyNumberFormat="1" applyFont="1" applyFill="1" applyBorder="1" applyAlignment="1">
      <alignment horizontal="center" vertical="center"/>
    </xf>
    <xf numFmtId="4" fontId="3" fillId="0" borderId="26" xfId="0" applyNumberFormat="1" applyFont="1" applyFill="1" applyBorder="1" applyAlignment="1">
      <alignment horizontal="center" vertical="center" wrapText="1"/>
    </xf>
    <xf numFmtId="2" fontId="9" fillId="0" borderId="27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vertical="center" wrapText="1"/>
    </xf>
    <xf numFmtId="2" fontId="11" fillId="0" borderId="25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vertical="center"/>
    </xf>
    <xf numFmtId="4" fontId="7" fillId="0" borderId="26" xfId="0" applyNumberFormat="1" applyFont="1" applyFill="1" applyBorder="1" applyAlignment="1">
      <alignment horizontal="center" vertical="center"/>
    </xf>
    <xf numFmtId="2" fontId="7" fillId="0" borderId="27" xfId="0" applyNumberFormat="1" applyFont="1" applyFill="1" applyBorder="1" applyAlignment="1">
      <alignment horizontal="center" vertical="center" wrapText="1"/>
    </xf>
    <xf numFmtId="4" fontId="5" fillId="0" borderId="25" xfId="0" applyNumberFormat="1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2" fontId="26" fillId="0" borderId="23" xfId="0" applyNumberFormat="1" applyFont="1" applyFill="1" applyBorder="1" applyAlignment="1">
      <alignment horizontal="center" vertical="center"/>
    </xf>
    <xf numFmtId="2" fontId="26" fillId="0" borderId="25" xfId="0" applyNumberFormat="1" applyFont="1" applyFill="1" applyBorder="1" applyAlignment="1">
      <alignment horizontal="center" vertical="center"/>
    </xf>
    <xf numFmtId="2" fontId="5" fillId="0" borderId="23" xfId="0" applyNumberFormat="1" applyFont="1" applyFill="1" applyBorder="1" applyAlignment="1">
      <alignment horizontal="center" vertical="center"/>
    </xf>
    <xf numFmtId="164" fontId="5" fillId="0" borderId="24" xfId="119" applyNumberFormat="1" applyFont="1" applyFill="1" applyBorder="1" applyAlignment="1">
      <alignment horizontal="center" vertical="center" wrapText="1"/>
    </xf>
    <xf numFmtId="4" fontId="46" fillId="0" borderId="25" xfId="0" applyNumberFormat="1" applyFont="1" applyFill="1" applyBorder="1" applyAlignment="1">
      <alignment horizontal="center" vertical="center" wrapText="1"/>
    </xf>
    <xf numFmtId="4" fontId="47" fillId="0" borderId="25" xfId="0" applyNumberFormat="1" applyFont="1" applyFill="1" applyBorder="1" applyAlignment="1">
      <alignment horizontal="center" vertical="center" wrapText="1"/>
    </xf>
    <xf numFmtId="4" fontId="2" fillId="0" borderId="23" xfId="1" applyNumberFormat="1" applyFont="1" applyFill="1" applyBorder="1" applyAlignment="1" applyProtection="1">
      <alignment horizontal="center" vertical="center"/>
    </xf>
    <xf numFmtId="165" fontId="46" fillId="0" borderId="25" xfId="1" applyNumberFormat="1" applyFont="1" applyFill="1" applyBorder="1" applyAlignment="1" applyProtection="1">
      <alignment horizontal="center" vertical="center" wrapText="1"/>
    </xf>
    <xf numFmtId="4" fontId="48" fillId="0" borderId="25" xfId="0" applyNumberFormat="1" applyFont="1" applyFill="1" applyBorder="1" applyAlignment="1">
      <alignment horizontal="center" vertical="center" wrapText="1"/>
    </xf>
    <xf numFmtId="4" fontId="35" fillId="0" borderId="23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</cellXfs>
  <cellStyles count="393">
    <cellStyle name="Excel Built-in Normal" xfId="392"/>
    <cellStyle name="Обычный" xfId="0" builtinId="0"/>
    <cellStyle name="Обычный 10" xfId="119"/>
    <cellStyle name="Обычный 11 2" xfId="236"/>
    <cellStyle name="Обычный 11 3" xfId="357"/>
    <cellStyle name="Обычный 12" xfId="125"/>
    <cellStyle name="Обычный 12 2" xfId="305"/>
    <cellStyle name="Обычный 12 2 2" xfId="322"/>
    <cellStyle name="Обычный 12 2 3" xfId="377"/>
    <cellStyle name="Обычный 12 2_Лист1" xfId="152"/>
    <cellStyle name="Обычный 12 3" xfId="371"/>
    <cellStyle name="Обычный 12_Лист1" xfId="170"/>
    <cellStyle name="Обычный 13" xfId="128"/>
    <cellStyle name="Обычный 13 2" xfId="238"/>
    <cellStyle name="Обычный 13 2 2" xfId="325"/>
    <cellStyle name="Обычный 13 2 3" xfId="380"/>
    <cellStyle name="Обычный 13 2_Лист1" xfId="165"/>
    <cellStyle name="Обычный 13 3" xfId="358"/>
    <cellStyle name="Обычный 13_Лист1" xfId="192"/>
    <cellStyle name="Обычный 14" xfId="131"/>
    <cellStyle name="Обычный 14 2" xfId="255"/>
    <cellStyle name="Обычный 14 2 2" xfId="328"/>
    <cellStyle name="Обычный 14 2 3" xfId="383"/>
    <cellStyle name="Обычный 14 2_Лист1" xfId="181"/>
    <cellStyle name="Обычный 14 3" xfId="364"/>
    <cellStyle name="Обычный 14_Лист1" xfId="198"/>
    <cellStyle name="Обычный 15" xfId="134"/>
    <cellStyle name="Обычный 15 2" xfId="270"/>
    <cellStyle name="Обычный 15 2 2" xfId="331"/>
    <cellStyle name="Обычный 15 2 3" xfId="386"/>
    <cellStyle name="Обычный 15 2_Лист1" xfId="175"/>
    <cellStyle name="Обычный 15 3" xfId="367"/>
    <cellStyle name="Обычный 15_Лист1" xfId="177"/>
    <cellStyle name="Обычный 16" xfId="137"/>
    <cellStyle name="Обычный 16 2" xfId="205"/>
    <cellStyle name="Обычный 16 2 2" xfId="334"/>
    <cellStyle name="Обычный 16 2 3" xfId="389"/>
    <cellStyle name="Обычный 16 2_Лист1" xfId="191"/>
    <cellStyle name="Обычный 16 3" xfId="348"/>
    <cellStyle name="Обычный 16_Лист1" xfId="169"/>
    <cellStyle name="Обычный 18" xfId="271"/>
    <cellStyle name="Обычный 19" xfId="268"/>
    <cellStyle name="Обычный 2" xfId="3"/>
    <cellStyle name="Обычный 2 10" xfId="127"/>
    <cellStyle name="Обычный 2 10 2" xfId="246"/>
    <cellStyle name="Обычный 2 10 2 2" xfId="324"/>
    <cellStyle name="Обычный 2 10 2 3" xfId="379"/>
    <cellStyle name="Обычный 2 10 2_Лист1" xfId="185"/>
    <cellStyle name="Обычный 2 10 3" xfId="359"/>
    <cellStyle name="Обычный 2 10_Лист1" xfId="188"/>
    <cellStyle name="Обычный 2 11" xfId="130"/>
    <cellStyle name="Обычный 2 11 2" xfId="259"/>
    <cellStyle name="Обычный 2 11 2 2" xfId="327"/>
    <cellStyle name="Обычный 2 11 2 3" xfId="382"/>
    <cellStyle name="Обычный 2 11 2_Лист1" xfId="158"/>
    <cellStyle name="Обычный 2 11 3" xfId="365"/>
    <cellStyle name="Обычный 2 11_Лист1" xfId="164"/>
    <cellStyle name="Обычный 2 12" xfId="133"/>
    <cellStyle name="Обычный 2 12 2" xfId="249"/>
    <cellStyle name="Обычный 2 12 2 2" xfId="330"/>
    <cellStyle name="Обычный 2 12 2 3" xfId="385"/>
    <cellStyle name="Обычный 2 12 2_Лист1" xfId="145"/>
    <cellStyle name="Обычный 2 12 3" xfId="361"/>
    <cellStyle name="Обычный 2 12_Лист1" xfId="146"/>
    <cellStyle name="Обычный 2 13" xfId="136"/>
    <cellStyle name="Обычный 2 13 2" xfId="277"/>
    <cellStyle name="Обычный 2 13 2 2" xfId="333"/>
    <cellStyle name="Обычный 2 13 2 3" xfId="388"/>
    <cellStyle name="Обычный 2 13 2_Лист1" xfId="195"/>
    <cellStyle name="Обычный 2 13 3" xfId="369"/>
    <cellStyle name="Обычный 2 13_Лист1" xfId="194"/>
    <cellStyle name="Обычный 2 14" xfId="140"/>
    <cellStyle name="Обычный 2 14 2" xfId="272"/>
    <cellStyle name="Обычный 2 14 3" xfId="368"/>
    <cellStyle name="Обычный 2 14_Лист1" xfId="178"/>
    <cellStyle name="Обычный 2 15" xfId="282"/>
    <cellStyle name="Обычный 2 16" xfId="273"/>
    <cellStyle name="Обычный 2 17" xfId="261"/>
    <cellStyle name="Обычный 2 18" xfId="245"/>
    <cellStyle name="Обычный 2 19" xfId="300"/>
    <cellStyle name="Обычный 2 2" xfId="4"/>
    <cellStyle name="Обычный 2 2 2" xfId="20"/>
    <cellStyle name="Обычный 2 2 2 2" xfId="33"/>
    <cellStyle name="Обычный 2 2 2 3" xfId="84"/>
    <cellStyle name="Обычный 2 2 2 4" xfId="32"/>
    <cellStyle name="Обычный 2 2 2 5" xfId="112"/>
    <cellStyle name="Обычный 2 2 2 6" xfId="116"/>
    <cellStyle name="Обычный 2 2 3" xfId="46"/>
    <cellStyle name="Обычный 2 2 4" xfId="56"/>
    <cellStyle name="Обычный 2 2 5" xfId="68"/>
    <cellStyle name="Обычный 2 2 6" xfId="29"/>
    <cellStyle name="Обычный 2 2 7" xfId="91"/>
    <cellStyle name="Обычный 2 2 8" xfId="110"/>
    <cellStyle name="Обычный 2 2 9" xfId="113"/>
    <cellStyle name="Обычный 2 20" xfId="306"/>
    <cellStyle name="Обычный 2 21" xfId="337"/>
    <cellStyle name="Обычный 2 3" xfId="5"/>
    <cellStyle name="Обычный 2 3 10" xfId="264"/>
    <cellStyle name="Обычный 2 3 11" xfId="274"/>
    <cellStyle name="Обычный 2 3 12" xfId="242"/>
    <cellStyle name="Обычный 2 3 13" xfId="291"/>
    <cellStyle name="Обычный 2 3 14" xfId="296"/>
    <cellStyle name="Обычный 2 3 15" xfId="299"/>
    <cellStyle name="Обычный 2 3 16" xfId="302"/>
    <cellStyle name="Обычный 2 3 17" xfId="280"/>
    <cellStyle name="Обычный 2 3 18" xfId="304"/>
    <cellStyle name="Обычный 2 3 19" xfId="309"/>
    <cellStyle name="Обычный 2 3 2" xfId="34"/>
    <cellStyle name="Обычный 2 3 2 10" xfId="247"/>
    <cellStyle name="Обычный 2 3 2 11" xfId="226"/>
    <cellStyle name="Обычный 2 3 2 12" xfId="275"/>
    <cellStyle name="Обычный 2 3 2 13" xfId="218"/>
    <cellStyle name="Обычный 2 3 2 14" xfId="276"/>
    <cellStyle name="Обычный 2 3 2 15" xfId="294"/>
    <cellStyle name="Обычный 2 3 2 16" xfId="298"/>
    <cellStyle name="Обычный 2 3 2 17" xfId="290"/>
    <cellStyle name="Обычный 2 3 2 18" xfId="289"/>
    <cellStyle name="Обычный 2 3 2 19" xfId="311"/>
    <cellStyle name="Обычный 2 3 2 2" xfId="35"/>
    <cellStyle name="Обычный 2 3 2 2 10" xfId="269"/>
    <cellStyle name="Обычный 2 3 2 2 11" xfId="239"/>
    <cellStyle name="Обычный 2 3 2 2 12" xfId="293"/>
    <cellStyle name="Обычный 2 3 2 2 13" xfId="297"/>
    <cellStyle name="Обычный 2 3 2 2 14" xfId="250"/>
    <cellStyle name="Обычный 2 3 2 2 15" xfId="224"/>
    <cellStyle name="Обычный 2 3 2 2 16" xfId="312"/>
    <cellStyle name="Обычный 2 3 2 2 17" xfId="344"/>
    <cellStyle name="Обычный 2 3 2 2 2" xfId="160"/>
    <cellStyle name="Обычный 2 3 2 2 2 2" xfId="161"/>
    <cellStyle name="Обычный 2 3 2 2 2 3" xfId="345"/>
    <cellStyle name="Обычный 2 3 2 2 2_Лист1" xfId="190"/>
    <cellStyle name="Обычный 2 3 2 2 3" xfId="222"/>
    <cellStyle name="Обычный 2 3 2 2 4" xfId="206"/>
    <cellStyle name="Обычный 2 3 2 2 5" xfId="244"/>
    <cellStyle name="Обычный 2 3 2 2 6" xfId="220"/>
    <cellStyle name="Обычный 2 3 2 2 7" xfId="237"/>
    <cellStyle name="Обычный 2 3 2 2 8" xfId="225"/>
    <cellStyle name="Обычный 2 3 2 2 9" xfId="207"/>
    <cellStyle name="Обычный 2 3 2 2_Лист1" xfId="168"/>
    <cellStyle name="Обычный 2 3 2 20" xfId="342"/>
    <cellStyle name="Обычный 2 3 2 3" xfId="48"/>
    <cellStyle name="Обычный 2 3 2 4" xfId="52"/>
    <cellStyle name="Обычный 2 3 2 5" xfId="64"/>
    <cellStyle name="Обычный 2 3 2 6" xfId="151"/>
    <cellStyle name="Обычный 2 3 2 6 2" xfId="221"/>
    <cellStyle name="Обычный 2 3 2 6 3" xfId="354"/>
    <cellStyle name="Обычный 2 3 2 6_Лист1" xfId="200"/>
    <cellStyle name="Обычный 2 3 2 7" xfId="243"/>
    <cellStyle name="Обычный 2 3 2 8" xfId="227"/>
    <cellStyle name="Обычный 2 3 2 9" xfId="228"/>
    <cellStyle name="Обычный 2 3 2_Лист1" xfId="174"/>
    <cellStyle name="Обычный 2 3 20" xfId="340"/>
    <cellStyle name="Обычный 2 3 3" xfId="47"/>
    <cellStyle name="Обычный 2 3 4" xfId="53"/>
    <cellStyle name="Обычный 2 3 5" xfId="67"/>
    <cellStyle name="Обычный 2 3 6" xfId="149"/>
    <cellStyle name="Обычный 2 3 6 2" xfId="211"/>
    <cellStyle name="Обычный 2 3 6 3" xfId="350"/>
    <cellStyle name="Обычный 2 3 6_Лист1" xfId="193"/>
    <cellStyle name="Обычный 2 3 7" xfId="235"/>
    <cellStyle name="Обычный 2 3 8" xfId="252"/>
    <cellStyle name="Обычный 2 3 9" xfId="265"/>
    <cellStyle name="Обычный 2 3_Лист1" xfId="176"/>
    <cellStyle name="Обычный 2 4" xfId="45"/>
    <cellStyle name="Обычный 2 5" xfId="57"/>
    <cellStyle name="Обычный 2 6" xfId="71"/>
    <cellStyle name="Обычный 2 7" xfId="121"/>
    <cellStyle name="Обычный 2 7 2" xfId="204"/>
    <cellStyle name="Обычный 2 7 2 2" xfId="318"/>
    <cellStyle name="Обычный 2 7 2 3" xfId="373"/>
    <cellStyle name="Обычный 2 7 2_Лист1" xfId="163"/>
    <cellStyle name="Обычный 2 7 3" xfId="347"/>
    <cellStyle name="Обычный 2 7_Лист1" xfId="184"/>
    <cellStyle name="Обычный 2 8" xfId="123"/>
    <cellStyle name="Обычный 2 8 2" xfId="216"/>
    <cellStyle name="Обычный 2 8 2 2" xfId="320"/>
    <cellStyle name="Обычный 2 8 2 3" xfId="375"/>
    <cellStyle name="Обычный 2 8 2_Лист1" xfId="144"/>
    <cellStyle name="Обычный 2 8 3" xfId="351"/>
    <cellStyle name="Обычный 2 8_Лист1" xfId="157"/>
    <cellStyle name="Обычный 2 9" xfId="124"/>
    <cellStyle name="Обычный 2 9 2" xfId="217"/>
    <cellStyle name="Обычный 2 9 2 2" xfId="321"/>
    <cellStyle name="Обычный 2 9 2 3" xfId="376"/>
    <cellStyle name="Обычный 2 9 2_Лист1" xfId="143"/>
    <cellStyle name="Обычный 2 9 3" xfId="352"/>
    <cellStyle name="Обычный 2 9_Лист1" xfId="179"/>
    <cellStyle name="Обычный 2_Лист1" xfId="201"/>
    <cellStyle name="Обычный 20" xfId="285"/>
    <cellStyle name="Обычный 21" xfId="283"/>
    <cellStyle name="Обычный 22" xfId="303"/>
    <cellStyle name="Обычный 3" xfId="6"/>
    <cellStyle name="Обычный 3 2" xfId="21"/>
    <cellStyle name="Обычный 3 2 2" xfId="36"/>
    <cellStyle name="Обычный 3 2 3" xfId="85"/>
    <cellStyle name="Обычный 3 2 4" xfId="95"/>
    <cellStyle name="Обычный 3 2 5" xfId="115"/>
    <cellStyle name="Обычный 3 2 6" xfId="118"/>
    <cellStyle name="Обычный 3 3" xfId="49"/>
    <cellStyle name="Обычный 3 4" xfId="50"/>
    <cellStyle name="Обычный 3 5" xfId="63"/>
    <cellStyle name="Обычный 3 6" xfId="28"/>
    <cellStyle name="Обычный 3 7" xfId="82"/>
    <cellStyle name="Обычный 3 8" xfId="99"/>
    <cellStyle name="Обычный 3 9" xfId="22"/>
    <cellStyle name="Обычный 4" xfId="7"/>
    <cellStyle name="Обычный 5" xfId="2"/>
    <cellStyle name="Обычный 5 10" xfId="287"/>
    <cellStyle name="Обычный 5 11" xfId="284"/>
    <cellStyle name="Обычный 5 12" xfId="213"/>
    <cellStyle name="Обычный 5 13" xfId="292"/>
    <cellStyle name="Обычный 5 14" xfId="286"/>
    <cellStyle name="Обычный 5 15" xfId="278"/>
    <cellStyle name="Обычный 5 16" xfId="308"/>
    <cellStyle name="Обычный 5 17" xfId="339"/>
    <cellStyle name="Обычный 5 2" xfId="37"/>
    <cellStyle name="Обычный 5 3" xfId="148"/>
    <cellStyle name="Обычный 5 3 2" xfId="210"/>
    <cellStyle name="Обычный 5 3 3" xfId="349"/>
    <cellStyle name="Обычный 5 3_Лист1" xfId="187"/>
    <cellStyle name="Обычный 5 4" xfId="215"/>
    <cellStyle name="Обычный 5 5" xfId="260"/>
    <cellStyle name="Обычный 5 6" xfId="233"/>
    <cellStyle name="Обычный 5 7" xfId="234"/>
    <cellStyle name="Обычный 5 8" xfId="262"/>
    <cellStyle name="Обычный 5 9" xfId="266"/>
    <cellStyle name="Обычный 5_Лист1" xfId="186"/>
    <cellStyle name="Обычный 6" xfId="18"/>
    <cellStyle name="Обычный 7" xfId="43"/>
    <cellStyle name="Обычный 8" xfId="100"/>
    <cellStyle name="Обычный 9" xfId="120"/>
    <cellStyle name="Обычный 9 2" xfId="203"/>
    <cellStyle name="Обычный 9 2 2" xfId="317"/>
    <cellStyle name="Обычный 9 2 3" xfId="372"/>
    <cellStyle name="Обычный 9 2_Лист1" xfId="153"/>
    <cellStyle name="Обычный 9 3" xfId="346"/>
    <cellStyle name="Обычный 9_Лист1" xfId="199"/>
    <cellStyle name="Процентный 2" xfId="8"/>
    <cellStyle name="Процентный 2 10" xfId="117"/>
    <cellStyle name="Процентный 2 2" xfId="9"/>
    <cellStyle name="Процентный 2 3" xfId="23"/>
    <cellStyle name="Процентный 2 3 2" xfId="38"/>
    <cellStyle name="Процентный 2 3 3" xfId="87"/>
    <cellStyle name="Процентный 2 3 4" xfId="86"/>
    <cellStyle name="Процентный 2 3 5" xfId="83"/>
    <cellStyle name="Процентный 2 3 6" xfId="96"/>
    <cellStyle name="Процентный 2 4" xfId="51"/>
    <cellStyle name="Процентный 2 5" xfId="62"/>
    <cellStyle name="Процентный 2 6" xfId="60"/>
    <cellStyle name="Процентный 2 7" xfId="24"/>
    <cellStyle name="Процентный 2 8" xfId="105"/>
    <cellStyle name="Процентный 2 9" xfId="114"/>
    <cellStyle name="Процентный 3" xfId="10"/>
    <cellStyle name="Процентный 4" xfId="11"/>
    <cellStyle name="Процентный 4 2" xfId="26"/>
    <cellStyle name="Процентный 4 2 2" xfId="39"/>
    <cellStyle name="Процентный 4 2 3" xfId="88"/>
    <cellStyle name="Процентный 4 2 4" xfId="25"/>
    <cellStyle name="Процентный 4 2 5" xfId="80"/>
    <cellStyle name="Процентный 4 2 6" xfId="106"/>
    <cellStyle name="Процентный 4 3" xfId="54"/>
    <cellStyle name="Процентный 4 4" xfId="65"/>
    <cellStyle name="Процентный 4 5" xfId="73"/>
    <cellStyle name="Процентный 4 6" xfId="19"/>
    <cellStyle name="Процентный 4 7" xfId="108"/>
    <cellStyle name="Процентный 4 8" xfId="93"/>
    <cellStyle name="Процентный 4 9" xfId="92"/>
    <cellStyle name="Финансовый" xfId="1" builtinId="3"/>
    <cellStyle name="Финансовый [0] 2" xfId="12"/>
    <cellStyle name="Финансовый [0] 2 10" xfId="79"/>
    <cellStyle name="Финансовый [0] 2 2" xfId="13"/>
    <cellStyle name="Финансовый [0] 2 3" xfId="27"/>
    <cellStyle name="Финансовый [0] 2 3 2" xfId="40"/>
    <cellStyle name="Финансовый [0] 2 3 3" xfId="89"/>
    <cellStyle name="Финансовый [0] 2 3 4" xfId="102"/>
    <cellStyle name="Финансовый [0] 2 3 5" xfId="109"/>
    <cellStyle name="Финансовый [0] 2 3 6" xfId="97"/>
    <cellStyle name="Финансовый [0] 2 4" xfId="55"/>
    <cellStyle name="Финансовый [0] 2 5" xfId="66"/>
    <cellStyle name="Финансовый [0] 2 6" xfId="74"/>
    <cellStyle name="Финансовый [0] 2 7" xfId="78"/>
    <cellStyle name="Финансовый [0] 2 8" xfId="104"/>
    <cellStyle name="Финансовый [0] 2 9" xfId="103"/>
    <cellStyle name="Финансовый [0] 3" xfId="14"/>
    <cellStyle name="Финансовый [0] 4" xfId="15"/>
    <cellStyle name="Финансовый [0] 4 2" xfId="30"/>
    <cellStyle name="Финансовый [0] 4 2 2" xfId="41"/>
    <cellStyle name="Финансовый [0] 4 2 3" xfId="90"/>
    <cellStyle name="Финансовый [0] 4 2 4" xfId="94"/>
    <cellStyle name="Финансовый [0] 4 2 5" xfId="111"/>
    <cellStyle name="Финансовый [0] 4 2 6" xfId="98"/>
    <cellStyle name="Финансовый [0] 4 3" xfId="58"/>
    <cellStyle name="Финансовый [0] 4 4" xfId="69"/>
    <cellStyle name="Финансовый [0] 4 5" xfId="75"/>
    <cellStyle name="Финансовый [0] 4 6" xfId="81"/>
    <cellStyle name="Финансовый [0] 4 7" xfId="107"/>
    <cellStyle name="Финансовый [0] 4 8" xfId="42"/>
    <cellStyle name="Финансовый [0] 4 9" xfId="101"/>
    <cellStyle name="Финансовый 2" xfId="31"/>
    <cellStyle name="Финансовый 2 10" xfId="132"/>
    <cellStyle name="Финансовый 2 10 2" xfId="263"/>
    <cellStyle name="Финансовый 2 10 2 2" xfId="329"/>
    <cellStyle name="Финансовый 2 10 2 3" xfId="384"/>
    <cellStyle name="Финансовый 2 10 2_Лист1" xfId="197"/>
    <cellStyle name="Финансовый 2 10 3" xfId="366"/>
    <cellStyle name="Финансовый 2 10_Лист1" xfId="167"/>
    <cellStyle name="Финансовый 2 11" xfId="135"/>
    <cellStyle name="Финансовый 2 11 2" xfId="253"/>
    <cellStyle name="Финансовый 2 11 2 2" xfId="332"/>
    <cellStyle name="Финансовый 2 11 2 3" xfId="387"/>
    <cellStyle name="Финансовый 2 11 2_Лист1" xfId="155"/>
    <cellStyle name="Финансовый 2 11 3" xfId="363"/>
    <cellStyle name="Финансовый 2 11_Лист1" xfId="180"/>
    <cellStyle name="Финансовый 2 12" xfId="138"/>
    <cellStyle name="Финансовый 2 12 2" xfId="229"/>
    <cellStyle name="Финансовый 2 12 2 2" xfId="335"/>
    <cellStyle name="Финансовый 2 12 2 3" xfId="390"/>
    <cellStyle name="Финансовый 2 12 2_Лист1" xfId="162"/>
    <cellStyle name="Финансовый 2 12 3" xfId="356"/>
    <cellStyle name="Финансовый 2 12_Лист1" xfId="183"/>
    <cellStyle name="Финансовый 2 13" xfId="139"/>
    <cellStyle name="Финансовый 2 13 2" xfId="251"/>
    <cellStyle name="Финансовый 2 13 2 2" xfId="336"/>
    <cellStyle name="Финансовый 2 13 2 3" xfId="391"/>
    <cellStyle name="Финансовый 2 13 2_Лист1" xfId="142"/>
    <cellStyle name="Финансовый 2 13 3" xfId="362"/>
    <cellStyle name="Финансовый 2 13_Лист1" xfId="156"/>
    <cellStyle name="Финансовый 2 14" xfId="147"/>
    <cellStyle name="Финансовый 2 14 2" xfId="288"/>
    <cellStyle name="Финансовый 2 14 3" xfId="370"/>
    <cellStyle name="Финансовый 2 14_Лист1" xfId="141"/>
    <cellStyle name="Финансовый 2 15" xfId="240"/>
    <cellStyle name="Финансовый 2 16" xfId="258"/>
    <cellStyle name="Финансовый 2 17" xfId="295"/>
    <cellStyle name="Финансовый 2 18" xfId="301"/>
    <cellStyle name="Финансовый 2 19" xfId="232"/>
    <cellStyle name="Финансовый 2 2" xfId="16"/>
    <cellStyle name="Финансовый 2 2 10" xfId="212"/>
    <cellStyle name="Финансовый 2 2 11" xfId="267"/>
    <cellStyle name="Финансовый 2 2 12" xfId="214"/>
    <cellStyle name="Финансовый 2 2 13" xfId="241"/>
    <cellStyle name="Финансовый 2 2 14" xfId="279"/>
    <cellStyle name="Финансовый 2 2 15" xfId="281"/>
    <cellStyle name="Финансовый 2 2 16" xfId="307"/>
    <cellStyle name="Финансовый 2 2 17" xfId="343"/>
    <cellStyle name="Финансовый 2 2 2" xfId="159"/>
    <cellStyle name="Финансовый 2 2 2 2" xfId="150"/>
    <cellStyle name="Финансовый 2 2 2 3" xfId="341"/>
    <cellStyle name="Финансовый 2 2 2_Лист1" xfId="196"/>
    <cellStyle name="Финансовый 2 2 3" xfId="209"/>
    <cellStyle name="Финансовый 2 2 4" xfId="230"/>
    <cellStyle name="Финансовый 2 2 5" xfId="256"/>
    <cellStyle name="Финансовый 2 2 6" xfId="254"/>
    <cellStyle name="Финансовый 2 2 7" xfId="257"/>
    <cellStyle name="Финансовый 2 2 8" xfId="208"/>
    <cellStyle name="Финансовый 2 2 9" xfId="231"/>
    <cellStyle name="Финансовый 2 2_Лист1" xfId="202"/>
    <cellStyle name="Финансовый 2 20" xfId="310"/>
    <cellStyle name="Финансовый 2 21" xfId="338"/>
    <cellStyle name="Финансовый 2 3" xfId="17"/>
    <cellStyle name="Финансовый 2 4" xfId="59"/>
    <cellStyle name="Финансовый 2 5" xfId="70"/>
    <cellStyle name="Финансовый 2 6" xfId="76"/>
    <cellStyle name="Финансовый 2 7" xfId="122"/>
    <cellStyle name="Финансовый 2 7 2" xfId="219"/>
    <cellStyle name="Финансовый 2 7 2 2" xfId="319"/>
    <cellStyle name="Финансовый 2 7 2 3" xfId="374"/>
    <cellStyle name="Финансовый 2 7 2_Лист1" xfId="171"/>
    <cellStyle name="Финансовый 2 7 3" xfId="353"/>
    <cellStyle name="Финансовый 2 7_Лист1" xfId="154"/>
    <cellStyle name="Финансовый 2 8" xfId="126"/>
    <cellStyle name="Финансовый 2 8 2" xfId="223"/>
    <cellStyle name="Финансовый 2 8 2 2" xfId="323"/>
    <cellStyle name="Финансовый 2 8 2 3" xfId="378"/>
    <cellStyle name="Финансовый 2 8 2_Лист1" xfId="166"/>
    <cellStyle name="Финансовый 2 8 3" xfId="355"/>
    <cellStyle name="Финансовый 2 8_Лист1" xfId="172"/>
    <cellStyle name="Финансовый 2 9" xfId="129"/>
    <cellStyle name="Финансовый 2 9 2" xfId="248"/>
    <cellStyle name="Финансовый 2 9 2 2" xfId="326"/>
    <cellStyle name="Финансовый 2 9 2 3" xfId="381"/>
    <cellStyle name="Финансовый 2 9 2_Лист1" xfId="182"/>
    <cellStyle name="Финансовый 2 9 3" xfId="360"/>
    <cellStyle name="Финансовый 2 9_Лист1" xfId="189"/>
    <cellStyle name="Финансовый 2_Лист1" xfId="173"/>
    <cellStyle name="Финансовый 3 2" xfId="44"/>
    <cellStyle name="Финансовый 3 2 2" xfId="313"/>
    <cellStyle name="Финансовый 3 3" xfId="61"/>
    <cellStyle name="Финансовый 3 3 2" xfId="314"/>
    <cellStyle name="Финансовый 3 4" xfId="72"/>
    <cellStyle name="Финансовый 3 4 2" xfId="315"/>
    <cellStyle name="Финансовый 3 5" xfId="77"/>
    <cellStyle name="Финансовый 3 5 2" xfId="316"/>
  </cellStyles>
  <dxfs count="0"/>
  <tableStyles count="0" defaultTableStyle="TableStyleMedium9" defaultPivotStyle="PivotStyleLight16"/>
  <colors>
    <mruColors>
      <color rgb="FFFF3399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43</xdr:row>
      <xdr:rowOff>533401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10010775"/>
          <a:ext cx="666750" cy="1219201"/>
        </a:xfrm>
        <a:prstGeom prst="rect">
          <a:avLst/>
        </a:prstGeom>
        <a:noFill/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75247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75247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752475"/>
        </a:xfrm>
        <a:prstGeom prst="rect">
          <a:avLst/>
        </a:prstGeom>
        <a:noFill/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9725025"/>
          <a:ext cx="666750" cy="581025"/>
        </a:xfrm>
        <a:prstGeom prst="rect">
          <a:avLst/>
        </a:prstGeom>
        <a:noFill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43</xdr:row>
      <xdr:rowOff>190501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10153650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43</xdr:row>
      <xdr:rowOff>190501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153650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43</xdr:row>
      <xdr:rowOff>190500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153650"/>
          <a:ext cx="666750" cy="581025"/>
        </a:xfrm>
        <a:prstGeom prst="rect">
          <a:avLst/>
        </a:prstGeom>
        <a:noFill/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10725150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725150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190500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725150"/>
          <a:ext cx="666750" cy="581025"/>
        </a:xfrm>
        <a:prstGeom prst="rect">
          <a:avLst/>
        </a:prstGeom>
        <a:noFill/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42</xdr:row>
      <xdr:rowOff>76200</xdr:rowOff>
    </xdr:from>
    <xdr:ext cx="436626" cy="209822"/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3171825" y="12058650"/>
          <a:ext cx="436626" cy="209822"/>
        </a:xfrm>
        <a:prstGeom prst="rect">
          <a:avLst/>
        </a:prstGeom>
        <a:noFill/>
      </xdr:spPr>
    </xdr:sp>
    <xdr:clientData/>
  </xdr:oneCellAnchor>
  <xdr:oneCellAnchor>
    <xdr:from>
      <xdr:col>1</xdr:col>
      <xdr:colOff>190500</xdr:colOff>
      <xdr:row>42</xdr:row>
      <xdr:rowOff>76200</xdr:rowOff>
    </xdr:from>
    <xdr:ext cx="415290" cy="2714624"/>
    <xdr:sp macro="" textlink="">
      <xdr:nvSpPr>
        <xdr:cNvPr id="3" name="AutoShape 38648"/>
        <xdr:cNvSpPr>
          <a:spLocks noChangeAspect="1" noChangeArrowheads="1"/>
        </xdr:cNvSpPr>
      </xdr:nvSpPr>
      <xdr:spPr bwMode="auto">
        <a:xfrm>
          <a:off x="3171825" y="12058650"/>
          <a:ext cx="415290" cy="2714624"/>
        </a:xfrm>
        <a:prstGeom prst="rect">
          <a:avLst/>
        </a:prstGeom>
        <a:noFill/>
      </xdr:spPr>
    </xdr:sp>
    <xdr:clientData/>
  </xdr:oneCellAnchor>
  <xdr:oneCellAnchor>
    <xdr:from>
      <xdr:col>1</xdr:col>
      <xdr:colOff>190500</xdr:colOff>
      <xdr:row>42</xdr:row>
      <xdr:rowOff>76200</xdr:rowOff>
    </xdr:from>
    <xdr:ext cx="415290" cy="859427"/>
    <xdr:sp macro="" textlink="">
      <xdr:nvSpPr>
        <xdr:cNvPr id="4" name="AutoShape 38648"/>
        <xdr:cNvSpPr>
          <a:spLocks noChangeAspect="1" noChangeArrowheads="1"/>
        </xdr:cNvSpPr>
      </xdr:nvSpPr>
      <xdr:spPr bwMode="auto">
        <a:xfrm>
          <a:off x="3171825" y="12058650"/>
          <a:ext cx="415290" cy="859427"/>
        </a:xfrm>
        <a:prstGeom prst="rect">
          <a:avLst/>
        </a:prstGeom>
        <a:noFill/>
      </xdr:spPr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76200</xdr:rowOff>
    </xdr:from>
    <xdr:to>
      <xdr:col>1</xdr:col>
      <xdr:colOff>608076</xdr:colOff>
      <xdr:row>42</xdr:row>
      <xdr:rowOff>72390</xdr:rowOff>
    </xdr:to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3171825" y="10477500"/>
          <a:ext cx="436626" cy="205740"/>
        </a:xfrm>
        <a:prstGeom prst="rect">
          <a:avLst/>
        </a:prstGeom>
        <a:noFill/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76200</xdr:rowOff>
    </xdr:from>
    <xdr:to>
      <xdr:col>1</xdr:col>
      <xdr:colOff>608076</xdr:colOff>
      <xdr:row>42</xdr:row>
      <xdr:rowOff>72390</xdr:rowOff>
    </xdr:to>
    <xdr:sp macro="" textlink="">
      <xdr:nvSpPr>
        <xdr:cNvPr id="4" name="AutoShape 38648"/>
        <xdr:cNvSpPr>
          <a:spLocks noChangeAspect="1" noChangeArrowheads="1"/>
        </xdr:cNvSpPr>
      </xdr:nvSpPr>
      <xdr:spPr bwMode="auto">
        <a:xfrm>
          <a:off x="3171825" y="10477500"/>
          <a:ext cx="417576" cy="196215"/>
        </a:xfrm>
        <a:prstGeom prst="rect">
          <a:avLst/>
        </a:prstGeom>
        <a:noFill/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76200</xdr:rowOff>
    </xdr:from>
    <xdr:to>
      <xdr:col>1</xdr:col>
      <xdr:colOff>608076</xdr:colOff>
      <xdr:row>42</xdr:row>
      <xdr:rowOff>72390</xdr:rowOff>
    </xdr:to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3171825" y="10344150"/>
          <a:ext cx="417576" cy="186690"/>
        </a:xfrm>
        <a:prstGeom prst="rect">
          <a:avLst/>
        </a:prstGeom>
        <a:noFill/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42</xdr:row>
      <xdr:rowOff>76200</xdr:rowOff>
    </xdr:from>
    <xdr:to>
      <xdr:col>1</xdr:col>
      <xdr:colOff>608076</xdr:colOff>
      <xdr:row>43</xdr:row>
      <xdr:rowOff>72390</xdr:rowOff>
    </xdr:to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3171825" y="10029825"/>
          <a:ext cx="417576" cy="186690"/>
        </a:xfrm>
        <a:prstGeom prst="rect">
          <a:avLst/>
        </a:prstGeom>
        <a:noFill/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47</xdr:row>
      <xdr:rowOff>76200</xdr:rowOff>
    </xdr:from>
    <xdr:to>
      <xdr:col>1</xdr:col>
      <xdr:colOff>608076</xdr:colOff>
      <xdr:row>48</xdr:row>
      <xdr:rowOff>72390</xdr:rowOff>
    </xdr:to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3171825" y="10296525"/>
          <a:ext cx="417576" cy="186690"/>
        </a:xfrm>
        <a:prstGeom prst="rect">
          <a:avLst/>
        </a:prstGeom>
        <a:noFill/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76200</xdr:rowOff>
    </xdr:from>
    <xdr:to>
      <xdr:col>1</xdr:col>
      <xdr:colOff>857250</xdr:colOff>
      <xdr:row>43</xdr:row>
      <xdr:rowOff>9525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43</xdr:row>
      <xdr:rowOff>0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696575"/>
          <a:ext cx="666750" cy="1219201"/>
        </a:xfrm>
        <a:prstGeom prst="rect">
          <a:avLst/>
        </a:prstGeom>
        <a:noFill/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49</xdr:row>
      <xdr:rowOff>0</xdr:rowOff>
    </xdr:from>
    <xdr:to>
      <xdr:col>1</xdr:col>
      <xdr:colOff>857250</xdr:colOff>
      <xdr:row>51</xdr:row>
      <xdr:rowOff>190501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171825" y="12011025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49</xdr:row>
      <xdr:rowOff>0</xdr:rowOff>
    </xdr:from>
    <xdr:to>
      <xdr:col>1</xdr:col>
      <xdr:colOff>857250</xdr:colOff>
      <xdr:row>51</xdr:row>
      <xdr:rowOff>190501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2011025"/>
          <a:ext cx="666750" cy="58102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49</xdr:row>
      <xdr:rowOff>0</xdr:rowOff>
    </xdr:from>
    <xdr:to>
      <xdr:col>1</xdr:col>
      <xdr:colOff>857250</xdr:colOff>
      <xdr:row>51</xdr:row>
      <xdr:rowOff>190500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2011025"/>
          <a:ext cx="666750" cy="581025"/>
        </a:xfrm>
        <a:prstGeom prst="rect">
          <a:avLst/>
        </a:prstGeom>
        <a:noFill/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42</xdr:row>
      <xdr:rowOff>76200</xdr:rowOff>
    </xdr:from>
    <xdr:to>
      <xdr:col>1</xdr:col>
      <xdr:colOff>608076</xdr:colOff>
      <xdr:row>43</xdr:row>
      <xdr:rowOff>72390</xdr:rowOff>
    </xdr:to>
    <xdr:sp macro="" textlink="">
      <xdr:nvSpPr>
        <xdr:cNvPr id="2" name="AutoShape 38648"/>
        <xdr:cNvSpPr>
          <a:spLocks noChangeAspect="1" noChangeArrowheads="1"/>
        </xdr:cNvSpPr>
      </xdr:nvSpPr>
      <xdr:spPr bwMode="auto">
        <a:xfrm>
          <a:off x="2933700" y="11687175"/>
          <a:ext cx="417576" cy="481965"/>
        </a:xfrm>
        <a:prstGeom prst="rect">
          <a:avLst/>
        </a:prstGeom>
        <a:noFill/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38</xdr:row>
      <xdr:rowOff>76200</xdr:rowOff>
    </xdr:from>
    <xdr:to>
      <xdr:col>1</xdr:col>
      <xdr:colOff>857250</xdr:colOff>
      <xdr:row>42</xdr:row>
      <xdr:rowOff>142876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38</xdr:row>
      <xdr:rowOff>76200</xdr:rowOff>
    </xdr:from>
    <xdr:to>
      <xdr:col>1</xdr:col>
      <xdr:colOff>857250</xdr:colOff>
      <xdr:row>41</xdr:row>
      <xdr:rowOff>390525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239375"/>
          <a:ext cx="666750" cy="12192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41</xdr:row>
      <xdr:rowOff>200025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629900"/>
          <a:ext cx="666750" cy="819150"/>
        </a:xfrm>
        <a:prstGeom prst="rect">
          <a:avLst/>
        </a:prstGeom>
        <a:noFill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43</xdr:row>
      <xdr:rowOff>333376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76200</xdr:rowOff>
    </xdr:from>
    <xdr:to>
      <xdr:col>1</xdr:col>
      <xdr:colOff>857250</xdr:colOff>
      <xdr:row>42</xdr:row>
      <xdr:rowOff>390525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239375"/>
          <a:ext cx="666750" cy="12192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42</xdr:row>
      <xdr:rowOff>390525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629900"/>
          <a:ext cx="666750" cy="819150"/>
        </a:xfrm>
        <a:prstGeom prst="rect">
          <a:avLst/>
        </a:prstGeom>
        <a:noFill/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45</xdr:row>
      <xdr:rowOff>142876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42</xdr:row>
      <xdr:rowOff>76200</xdr:rowOff>
    </xdr:from>
    <xdr:to>
      <xdr:col>1</xdr:col>
      <xdr:colOff>857250</xdr:colOff>
      <xdr:row>45</xdr:row>
      <xdr:rowOff>514350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4965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44</xdr:row>
      <xdr:rowOff>381000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306050"/>
          <a:ext cx="666750" cy="8953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43</xdr:row>
      <xdr:rowOff>76200</xdr:rowOff>
    </xdr:from>
    <xdr:to>
      <xdr:col>1</xdr:col>
      <xdr:colOff>857250</xdr:colOff>
      <xdr:row>44</xdr:row>
      <xdr:rowOff>200025</xdr:rowOff>
    </xdr:to>
    <xdr:sp macro="" textlink="">
      <xdr:nvSpPr>
        <xdr:cNvPr id="5" name="AutoShape 1775"/>
        <xdr:cNvSpPr>
          <a:spLocks noChangeAspect="1" noChangeArrowheads="1"/>
        </xdr:cNvSpPr>
      </xdr:nvSpPr>
      <xdr:spPr bwMode="auto">
        <a:xfrm>
          <a:off x="3171825" y="10696575"/>
          <a:ext cx="666750" cy="504825"/>
        </a:xfrm>
        <a:prstGeom prst="rect">
          <a:avLst/>
        </a:prstGeom>
        <a:noFill/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76200</xdr:rowOff>
    </xdr:from>
    <xdr:to>
      <xdr:col>1</xdr:col>
      <xdr:colOff>857250</xdr:colOff>
      <xdr:row>43</xdr:row>
      <xdr:rowOff>142876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76200</xdr:rowOff>
    </xdr:from>
    <xdr:to>
      <xdr:col>1</xdr:col>
      <xdr:colOff>857250</xdr:colOff>
      <xdr:row>42</xdr:row>
      <xdr:rowOff>523876</xdr:rowOff>
    </xdr:to>
    <xdr:sp macro="" textlink="">
      <xdr:nvSpPr>
        <xdr:cNvPr id="7" name="AutoShape 1775"/>
        <xdr:cNvSpPr>
          <a:spLocks noChangeAspect="1" noChangeArrowheads="1"/>
        </xdr:cNvSpPr>
      </xdr:nvSpPr>
      <xdr:spPr bwMode="auto">
        <a:xfrm>
          <a:off x="3171825" y="1036320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43</xdr:row>
      <xdr:rowOff>514350</xdr:rowOff>
    </xdr:to>
    <xdr:sp macro="" textlink="">
      <xdr:nvSpPr>
        <xdr:cNvPr id="8" name="AutoShape 1775"/>
        <xdr:cNvSpPr>
          <a:spLocks noChangeAspect="1" noChangeArrowheads="1"/>
        </xdr:cNvSpPr>
      </xdr:nvSpPr>
      <xdr:spPr bwMode="auto">
        <a:xfrm>
          <a:off x="3171825" y="10553700"/>
          <a:ext cx="666750" cy="14001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76200</xdr:rowOff>
    </xdr:from>
    <xdr:to>
      <xdr:col>1</xdr:col>
      <xdr:colOff>857250</xdr:colOff>
      <xdr:row>42</xdr:row>
      <xdr:rowOff>381000</xdr:rowOff>
    </xdr:to>
    <xdr:sp macro="" textlink="">
      <xdr:nvSpPr>
        <xdr:cNvPr id="9" name="AutoShape 1775"/>
        <xdr:cNvSpPr>
          <a:spLocks noChangeAspect="1" noChangeArrowheads="1"/>
        </xdr:cNvSpPr>
      </xdr:nvSpPr>
      <xdr:spPr bwMode="auto">
        <a:xfrm>
          <a:off x="3171825" y="10363200"/>
          <a:ext cx="666750" cy="8858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42</xdr:row>
      <xdr:rowOff>200025</xdr:rowOff>
    </xdr:to>
    <xdr:sp macro="" textlink="">
      <xdr:nvSpPr>
        <xdr:cNvPr id="10" name="AutoShape 1775"/>
        <xdr:cNvSpPr>
          <a:spLocks noChangeAspect="1" noChangeArrowheads="1"/>
        </xdr:cNvSpPr>
      </xdr:nvSpPr>
      <xdr:spPr bwMode="auto">
        <a:xfrm>
          <a:off x="3171825" y="10753725"/>
          <a:ext cx="666750" cy="314325"/>
        </a:xfrm>
        <a:prstGeom prst="rect">
          <a:avLst/>
        </a:prstGeom>
        <a:noFill/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44</xdr:row>
      <xdr:rowOff>142876</xdr:rowOff>
    </xdr:to>
    <xdr:sp macro="" textlink="">
      <xdr:nvSpPr>
        <xdr:cNvPr id="2" name="AutoShape 1775"/>
        <xdr:cNvSpPr>
          <a:spLocks noChangeAspect="1" noChangeArrowheads="1"/>
        </xdr:cNvSpPr>
      </xdr:nvSpPr>
      <xdr:spPr bwMode="auto">
        <a:xfrm>
          <a:off x="3438525" y="125539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43</xdr:row>
      <xdr:rowOff>523876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36320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43</xdr:row>
      <xdr:rowOff>381001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363200"/>
          <a:ext cx="666750" cy="10287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76200</xdr:rowOff>
    </xdr:from>
    <xdr:to>
      <xdr:col>1</xdr:col>
      <xdr:colOff>857250</xdr:colOff>
      <xdr:row>44</xdr:row>
      <xdr:rowOff>323850</xdr:rowOff>
    </xdr:to>
    <xdr:sp macro="" textlink="">
      <xdr:nvSpPr>
        <xdr:cNvPr id="5" name="AutoShape 1775"/>
        <xdr:cNvSpPr>
          <a:spLocks noChangeAspect="1" noChangeArrowheads="1"/>
        </xdr:cNvSpPr>
      </xdr:nvSpPr>
      <xdr:spPr bwMode="auto">
        <a:xfrm>
          <a:off x="3171825" y="10553700"/>
          <a:ext cx="666750" cy="14001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40</xdr:row>
      <xdr:rowOff>76200</xdr:rowOff>
    </xdr:from>
    <xdr:to>
      <xdr:col>1</xdr:col>
      <xdr:colOff>857250</xdr:colOff>
      <xdr:row>43</xdr:row>
      <xdr:rowOff>381000</xdr:rowOff>
    </xdr:to>
    <xdr:sp macro="" textlink="">
      <xdr:nvSpPr>
        <xdr:cNvPr id="6" name="AutoShape 1775"/>
        <xdr:cNvSpPr>
          <a:spLocks noChangeAspect="1" noChangeArrowheads="1"/>
        </xdr:cNvSpPr>
      </xdr:nvSpPr>
      <xdr:spPr bwMode="auto">
        <a:xfrm>
          <a:off x="3171825" y="10363200"/>
          <a:ext cx="666750" cy="8858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42</xdr:row>
      <xdr:rowOff>76200</xdr:rowOff>
    </xdr:from>
    <xdr:to>
      <xdr:col>1</xdr:col>
      <xdr:colOff>857250</xdr:colOff>
      <xdr:row>43</xdr:row>
      <xdr:rowOff>200025</xdr:rowOff>
    </xdr:to>
    <xdr:sp macro="" textlink="">
      <xdr:nvSpPr>
        <xdr:cNvPr id="7" name="AutoShape 1775"/>
        <xdr:cNvSpPr>
          <a:spLocks noChangeAspect="1" noChangeArrowheads="1"/>
        </xdr:cNvSpPr>
      </xdr:nvSpPr>
      <xdr:spPr bwMode="auto">
        <a:xfrm>
          <a:off x="3171825" y="10753725"/>
          <a:ext cx="666750" cy="314325"/>
        </a:xfrm>
        <a:prstGeom prst="rect">
          <a:avLst/>
        </a:prstGeom>
        <a:noFill/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45</xdr:row>
      <xdr:rowOff>114301</xdr:rowOff>
    </xdr:to>
    <xdr:sp macro="" textlink="">
      <xdr:nvSpPr>
        <xdr:cNvPr id="8" name="AutoShape 1775"/>
        <xdr:cNvSpPr>
          <a:spLocks noChangeAspect="1" noChangeArrowheads="1"/>
        </xdr:cNvSpPr>
      </xdr:nvSpPr>
      <xdr:spPr bwMode="auto">
        <a:xfrm>
          <a:off x="3171825" y="10306050"/>
          <a:ext cx="666750" cy="12192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44</xdr:row>
      <xdr:rowOff>161926</xdr:rowOff>
    </xdr:to>
    <xdr:sp macro="" textlink="">
      <xdr:nvSpPr>
        <xdr:cNvPr id="9" name="AutoShape 1775"/>
        <xdr:cNvSpPr>
          <a:spLocks noChangeAspect="1" noChangeArrowheads="1"/>
        </xdr:cNvSpPr>
      </xdr:nvSpPr>
      <xdr:spPr bwMode="auto">
        <a:xfrm>
          <a:off x="3171825" y="10306050"/>
          <a:ext cx="666750" cy="1028701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44</xdr:row>
      <xdr:rowOff>161926</xdr:rowOff>
    </xdr:to>
    <xdr:sp macro="" textlink="">
      <xdr:nvSpPr>
        <xdr:cNvPr id="10" name="AutoShape 1775"/>
        <xdr:cNvSpPr>
          <a:spLocks noChangeAspect="1" noChangeArrowheads="1"/>
        </xdr:cNvSpPr>
      </xdr:nvSpPr>
      <xdr:spPr bwMode="auto">
        <a:xfrm>
          <a:off x="3171825" y="10306050"/>
          <a:ext cx="666750" cy="885826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1028700</xdr:colOff>
      <xdr:row>46</xdr:row>
      <xdr:rowOff>114300</xdr:rowOff>
    </xdr:from>
    <xdr:to>
      <xdr:col>8</xdr:col>
      <xdr:colOff>561975</xdr:colOff>
      <xdr:row>47</xdr:row>
      <xdr:rowOff>695325</xdr:rowOff>
    </xdr:to>
    <xdr:sp macro="" textlink="">
      <xdr:nvSpPr>
        <xdr:cNvPr id="11" name="AutoShape 1775"/>
        <xdr:cNvSpPr>
          <a:spLocks noChangeAspect="1" noChangeArrowheads="1"/>
        </xdr:cNvSpPr>
      </xdr:nvSpPr>
      <xdr:spPr bwMode="auto">
        <a:xfrm>
          <a:off x="7210425" y="13554075"/>
          <a:ext cx="666750" cy="14097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41</xdr:row>
      <xdr:rowOff>0</xdr:rowOff>
    </xdr:from>
    <xdr:to>
      <xdr:col>1</xdr:col>
      <xdr:colOff>857250</xdr:colOff>
      <xdr:row>44</xdr:row>
      <xdr:rowOff>161925</xdr:rowOff>
    </xdr:to>
    <xdr:sp macro="" textlink="">
      <xdr:nvSpPr>
        <xdr:cNvPr id="12" name="AutoShape 1775"/>
        <xdr:cNvSpPr>
          <a:spLocks noChangeAspect="1" noChangeArrowheads="1"/>
        </xdr:cNvSpPr>
      </xdr:nvSpPr>
      <xdr:spPr bwMode="auto">
        <a:xfrm>
          <a:off x="3171825" y="10306050"/>
          <a:ext cx="666750" cy="88582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42</xdr:row>
      <xdr:rowOff>76200</xdr:rowOff>
    </xdr:from>
    <xdr:to>
      <xdr:col>1</xdr:col>
      <xdr:colOff>857250</xdr:colOff>
      <xdr:row>44</xdr:row>
      <xdr:rowOff>47625</xdr:rowOff>
    </xdr:to>
    <xdr:sp macro="" textlink="">
      <xdr:nvSpPr>
        <xdr:cNvPr id="13" name="AutoShape 1775"/>
        <xdr:cNvSpPr>
          <a:spLocks noChangeAspect="1" noChangeArrowheads="1"/>
        </xdr:cNvSpPr>
      </xdr:nvSpPr>
      <xdr:spPr bwMode="auto">
        <a:xfrm>
          <a:off x="3171825" y="10696575"/>
          <a:ext cx="666750" cy="314325"/>
        </a:xfrm>
        <a:prstGeom prst="rect">
          <a:avLst/>
        </a:prstGeom>
        <a:noFill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361951</xdr:rowOff>
    </xdr:to>
    <xdr:sp macro="" textlink="">
      <xdr:nvSpPr>
        <xdr:cNvPr id="3" name="AutoShape 1775"/>
        <xdr:cNvSpPr>
          <a:spLocks noChangeAspect="1" noChangeArrowheads="1"/>
        </xdr:cNvSpPr>
      </xdr:nvSpPr>
      <xdr:spPr bwMode="auto">
        <a:xfrm>
          <a:off x="3171825" y="10601325"/>
          <a:ext cx="666750" cy="128587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361951</xdr:rowOff>
    </xdr:to>
    <xdr:sp macro="" textlink="">
      <xdr:nvSpPr>
        <xdr:cNvPr id="4" name="AutoShape 1775"/>
        <xdr:cNvSpPr>
          <a:spLocks noChangeAspect="1" noChangeArrowheads="1"/>
        </xdr:cNvSpPr>
      </xdr:nvSpPr>
      <xdr:spPr bwMode="auto">
        <a:xfrm>
          <a:off x="3171825" y="10601325"/>
          <a:ext cx="666750" cy="1285876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190500</xdr:colOff>
      <xdr:row>39</xdr:row>
      <xdr:rowOff>0</xdr:rowOff>
    </xdr:from>
    <xdr:to>
      <xdr:col>1</xdr:col>
      <xdr:colOff>857250</xdr:colOff>
      <xdr:row>41</xdr:row>
      <xdr:rowOff>361950</xdr:rowOff>
    </xdr:to>
    <xdr:sp macro="" textlink="">
      <xdr:nvSpPr>
        <xdr:cNvPr id="5" name="AutoShape 1775"/>
        <xdr:cNvSpPr>
          <a:spLocks noChangeAspect="1" noChangeArrowheads="1"/>
        </xdr:cNvSpPr>
      </xdr:nvSpPr>
      <xdr:spPr bwMode="auto">
        <a:xfrm>
          <a:off x="3171825" y="10601325"/>
          <a:ext cx="666750" cy="1285875"/>
        </a:xfrm>
        <a:prstGeom prst="rect">
          <a:avLst/>
        </a:prstGeom>
        <a:noFill/>
      </xdr:spPr>
    </xdr:sp>
    <xdr:clientData/>
  </xdr:twoCellAnchor>
</xdr:wsDr>
</file>

<file path=xl/externalLinks/externalLink1.xml><?xml version="1.0" encoding="utf-8"?>
<externalLink xmlns="http://schemas.openxmlformats.org/spreadsheetml/2006/main">
  <ddeLink xmlns:r="http://schemas.openxmlformats.org/officeDocument/2006/relationships" ddeService="soffice" ddeTopic="C:\Users\хозяин\Desktop\Танины дома 2014г\Ж-21\Ж-21 Кольцевая, 33а,33б,Комарова, 26,34,34а,36а,36-б,38,40.xls">
    <ddeItems>
      <ddeItem name="'Комарова, 26'.C34" advise="1" preferPic="1"/>
    </ddeItems>
  </dd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tabSelected="1" zoomScale="89" zoomScaleNormal="89" workbookViewId="0">
      <selection activeCell="A8" sqref="A8:D9"/>
    </sheetView>
  </sheetViews>
  <sheetFormatPr defaultRowHeight="15"/>
  <cols>
    <col min="1" max="1" width="44.7109375" style="193" customWidth="1"/>
    <col min="2" max="2" width="14.5703125" style="193" customWidth="1"/>
    <col min="3" max="3" width="39.5703125" style="193" customWidth="1"/>
    <col min="4" max="4" width="17" style="162" customWidth="1"/>
    <col min="5" max="5" width="6.42578125" style="466" hidden="1" customWidth="1"/>
    <col min="6" max="6" width="27.140625" style="162" hidden="1" customWidth="1"/>
    <col min="7" max="7" width="0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526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G16</f>
        <v>14736.8</v>
      </c>
      <c r="C11" s="76" t="s">
        <v>527</v>
      </c>
    </row>
    <row r="12" spans="1:7" s="469" customFormat="1" ht="15.75">
      <c r="A12" s="77" t="s">
        <v>3</v>
      </c>
      <c r="B12" s="468">
        <v>20.3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47" t="s">
        <v>457</v>
      </c>
      <c r="G14" s="248">
        <v>773</v>
      </c>
    </row>
    <row r="15" spans="1:7">
      <c r="A15" s="474" t="s">
        <v>7</v>
      </c>
      <c r="B15" s="475">
        <f>B11*G15*12</f>
        <v>3701294.6880000001</v>
      </c>
      <c r="C15" s="476" t="s">
        <v>586</v>
      </c>
      <c r="D15" s="477" t="s">
        <v>85</v>
      </c>
      <c r="F15" s="253" t="s">
        <v>132</v>
      </c>
      <c r="G15" s="254">
        <v>20.93</v>
      </c>
    </row>
    <row r="16" spans="1:7">
      <c r="A16" s="85" t="s">
        <v>9</v>
      </c>
      <c r="B16" s="201">
        <f>B17</f>
        <v>5098.5480000000007</v>
      </c>
      <c r="C16" s="183"/>
      <c r="D16" s="477"/>
      <c r="F16" s="259" t="s">
        <v>134</v>
      </c>
      <c r="G16" s="260">
        <v>14736.8</v>
      </c>
    </row>
    <row r="17" spans="1:7">
      <c r="A17" s="264" t="s">
        <v>528</v>
      </c>
      <c r="B17" s="478">
        <f>B18</f>
        <v>5098.5480000000007</v>
      </c>
      <c r="C17" s="479"/>
      <c r="D17" s="477"/>
      <c r="F17" s="259" t="s">
        <v>135</v>
      </c>
      <c r="G17" s="260">
        <v>252</v>
      </c>
    </row>
    <row r="18" spans="1:7">
      <c r="A18" s="394" t="s">
        <v>10</v>
      </c>
      <c r="B18" s="480">
        <f>20.3*G15*12</f>
        <v>5098.5480000000007</v>
      </c>
      <c r="C18" s="481" t="s">
        <v>587</v>
      </c>
      <c r="D18" s="477" t="s">
        <v>85</v>
      </c>
      <c r="F18" s="259" t="s">
        <v>136</v>
      </c>
      <c r="G18" s="260">
        <v>773</v>
      </c>
    </row>
    <row r="19" spans="1:7" ht="15.75">
      <c r="A19" s="95" t="s">
        <v>12</v>
      </c>
      <c r="B19" s="172">
        <f>B15+B16</f>
        <v>3706393.236</v>
      </c>
      <c r="C19" s="485"/>
      <c r="D19" s="477"/>
      <c r="E19" s="162"/>
      <c r="F19" s="247" t="s">
        <v>459</v>
      </c>
      <c r="G19" s="248">
        <v>0</v>
      </c>
    </row>
    <row r="20" spans="1:7">
      <c r="A20" s="486" t="s">
        <v>13</v>
      </c>
      <c r="B20" s="487">
        <f>B21+B22+B23+B24+B25+B26</f>
        <v>5189.76</v>
      </c>
      <c r="C20" s="485"/>
      <c r="D20" s="477"/>
      <c r="F20" s="259" t="s">
        <v>139</v>
      </c>
      <c r="G20" s="260">
        <v>2247</v>
      </c>
    </row>
    <row r="21" spans="1:7">
      <c r="A21" s="488" t="s">
        <v>14</v>
      </c>
      <c r="B21" s="487">
        <f>34.98*12</f>
        <v>419.76</v>
      </c>
      <c r="C21" s="485" t="s">
        <v>15</v>
      </c>
      <c r="D21" s="477" t="s">
        <v>85</v>
      </c>
      <c r="F21" s="259" t="s">
        <v>140</v>
      </c>
      <c r="G21" s="260">
        <v>7</v>
      </c>
    </row>
    <row r="22" spans="1:7">
      <c r="A22" s="488" t="s">
        <v>16</v>
      </c>
      <c r="B22" s="487">
        <f>137.5*12*0</f>
        <v>0</v>
      </c>
      <c r="C22" s="485" t="s">
        <v>17</v>
      </c>
      <c r="D22" s="477" t="s">
        <v>85</v>
      </c>
      <c r="F22" s="259" t="s">
        <v>141</v>
      </c>
      <c r="G22" s="260">
        <v>7</v>
      </c>
    </row>
    <row r="23" spans="1:7">
      <c r="A23" s="488" t="s">
        <v>18</v>
      </c>
      <c r="B23" s="487">
        <f>123.75*12</f>
        <v>1485</v>
      </c>
      <c r="C23" s="485" t="s">
        <v>19</v>
      </c>
      <c r="D23" s="477" t="s">
        <v>85</v>
      </c>
      <c r="F23" s="259" t="s">
        <v>142</v>
      </c>
      <c r="G23" s="260">
        <v>3062</v>
      </c>
    </row>
    <row r="24" spans="1:7">
      <c r="A24" s="488" t="s">
        <v>20</v>
      </c>
      <c r="B24" s="487">
        <f>123.75*12</f>
        <v>1485</v>
      </c>
      <c r="C24" s="485" t="s">
        <v>19</v>
      </c>
      <c r="D24" s="477" t="s">
        <v>85</v>
      </c>
      <c r="F24" s="259" t="s">
        <v>143</v>
      </c>
      <c r="G24" s="277">
        <v>5219</v>
      </c>
    </row>
    <row r="25" spans="1:7">
      <c r="A25" s="488" t="s">
        <v>66</v>
      </c>
      <c r="B25" s="487">
        <f>150*12</f>
        <v>1800</v>
      </c>
      <c r="C25" s="485" t="s">
        <v>21</v>
      </c>
      <c r="D25" s="477" t="s">
        <v>85</v>
      </c>
      <c r="F25" s="259" t="s">
        <v>144</v>
      </c>
      <c r="G25" s="278">
        <v>0</v>
      </c>
    </row>
    <row r="26" spans="1:7">
      <c r="A26" s="488" t="s">
        <v>22</v>
      </c>
      <c r="B26" s="487">
        <f>137.5*12*0</f>
        <v>0</v>
      </c>
      <c r="C26" s="485" t="s">
        <v>17</v>
      </c>
      <c r="D26" s="477" t="s">
        <v>85</v>
      </c>
      <c r="F26" s="259" t="s">
        <v>145</v>
      </c>
      <c r="G26" s="278">
        <v>1643.58</v>
      </c>
    </row>
    <row r="27" spans="1:7">
      <c r="A27" s="486" t="s">
        <v>24</v>
      </c>
      <c r="B27" s="487">
        <v>0</v>
      </c>
      <c r="C27" s="489"/>
      <c r="D27" s="490"/>
      <c r="F27" s="259" t="s">
        <v>460</v>
      </c>
      <c r="G27" s="278">
        <v>30.06</v>
      </c>
    </row>
    <row r="28" spans="1:7" ht="18.75">
      <c r="A28" s="491" t="s">
        <v>26</v>
      </c>
      <c r="B28" s="492">
        <f>B19+B20+B27</f>
        <v>3711582.9959999998</v>
      </c>
      <c r="C28" s="489"/>
      <c r="D28" s="490"/>
      <c r="F28" s="259" t="s">
        <v>461</v>
      </c>
      <c r="G28" s="278">
        <f>(G23/3+G24)/2920</f>
        <v>2.1368721461187214</v>
      </c>
    </row>
    <row r="29" spans="1:7" ht="15.75">
      <c r="A29" s="493" t="s">
        <v>27</v>
      </c>
      <c r="B29" s="100" t="s">
        <v>5</v>
      </c>
      <c r="C29" s="197" t="s">
        <v>28</v>
      </c>
      <c r="D29" s="490"/>
      <c r="F29" s="259" t="s">
        <v>148</v>
      </c>
      <c r="G29" s="278">
        <f>G17/144</f>
        <v>1.75</v>
      </c>
    </row>
    <row r="30" spans="1:7">
      <c r="A30" s="494" t="s">
        <v>29</v>
      </c>
      <c r="B30" s="487"/>
      <c r="C30" s="495"/>
      <c r="D30" s="490"/>
      <c r="F30" s="259" t="s">
        <v>149</v>
      </c>
      <c r="G30" s="279">
        <v>0</v>
      </c>
    </row>
    <row r="31" spans="1:7" ht="69.75" customHeight="1">
      <c r="A31" s="496" t="s">
        <v>30</v>
      </c>
      <c r="B31" s="340">
        <f>(G28*(3708+200)*1.5*1.15*1.083*1.302*6)+G28*((3708+200)*1.5*1.15*1.083*1.302*6)+(0.104*G23*12)</f>
        <v>247570.39667541115</v>
      </c>
      <c r="C31" s="341" t="s">
        <v>588</v>
      </c>
      <c r="D31" s="288" t="s">
        <v>86</v>
      </c>
      <c r="F31" s="247" t="s">
        <v>151</v>
      </c>
      <c r="G31" s="279">
        <v>9</v>
      </c>
    </row>
    <row r="32" spans="1:7" ht="30">
      <c r="A32" s="287" t="s">
        <v>31</v>
      </c>
      <c r="B32" s="342">
        <f>(G30*9921.13*6)+(G30*10317.11*6)</f>
        <v>0</v>
      </c>
      <c r="C32" s="343" t="s">
        <v>589</v>
      </c>
      <c r="D32" s="258"/>
      <c r="F32" s="247" t="s">
        <v>462</v>
      </c>
      <c r="G32" s="279">
        <v>1880.5</v>
      </c>
    </row>
    <row r="33" spans="1:7" ht="39.75" customHeight="1">
      <c r="A33" s="287" t="s">
        <v>32</v>
      </c>
      <c r="B33" s="342">
        <f>(1.72*9921.13*6)+(1.75*10317.11*6)+(252*10.41812*12)</f>
        <v>242220.11147999999</v>
      </c>
      <c r="C33" s="344" t="s">
        <v>591</v>
      </c>
      <c r="D33" s="258"/>
      <c r="F33" s="285" t="s">
        <v>463</v>
      </c>
      <c r="G33" s="286">
        <v>1880.5</v>
      </c>
    </row>
    <row r="34" spans="1:7">
      <c r="A34" s="287" t="s">
        <v>34</v>
      </c>
      <c r="B34" s="345">
        <f>(16.06+16.7)*G17</f>
        <v>8255.5199999999986</v>
      </c>
      <c r="C34" s="346" t="s">
        <v>590</v>
      </c>
      <c r="D34" s="258" t="s">
        <v>88</v>
      </c>
      <c r="F34" s="289" t="s">
        <v>464</v>
      </c>
      <c r="G34" s="290">
        <v>56922</v>
      </c>
    </row>
    <row r="35" spans="1:7" ht="30">
      <c r="A35" s="287" t="s">
        <v>35</v>
      </c>
      <c r="B35" s="345">
        <f>(49.72+51.71)*2*0</f>
        <v>0</v>
      </c>
      <c r="C35" s="346" t="s">
        <v>469</v>
      </c>
      <c r="D35" s="258"/>
      <c r="F35" s="247" t="s">
        <v>465</v>
      </c>
      <c r="G35" s="279">
        <v>2</v>
      </c>
    </row>
    <row r="36" spans="1:7">
      <c r="A36" s="287" t="s">
        <v>36</v>
      </c>
      <c r="B36" s="347">
        <f>0.25*G32*12</f>
        <v>5641.5</v>
      </c>
      <c r="C36" s="348" t="s">
        <v>592</v>
      </c>
      <c r="D36" s="258" t="s">
        <v>85</v>
      </c>
      <c r="F36" s="247" t="s">
        <v>467</v>
      </c>
      <c r="G36" s="279">
        <v>2</v>
      </c>
    </row>
    <row r="37" spans="1:7">
      <c r="A37" s="291" t="s">
        <v>37</v>
      </c>
      <c r="B37" s="345">
        <f>2.34*G32*4</f>
        <v>17601.48</v>
      </c>
      <c r="C37" s="251" t="s">
        <v>593</v>
      </c>
      <c r="D37" s="258" t="s">
        <v>89</v>
      </c>
      <c r="F37" s="162" t="s">
        <v>554</v>
      </c>
      <c r="G37" s="162">
        <v>0</v>
      </c>
    </row>
    <row r="38" spans="1:7" ht="30">
      <c r="A38" s="417" t="s">
        <v>67</v>
      </c>
      <c r="B38" s="381">
        <f>(635.59*6+661.01*6)*G35</f>
        <v>15559.2</v>
      </c>
      <c r="C38" s="385" t="s">
        <v>496</v>
      </c>
      <c r="D38" s="377" t="s">
        <v>85</v>
      </c>
    </row>
    <row r="39" spans="1:7">
      <c r="A39" s="385" t="s">
        <v>529</v>
      </c>
      <c r="B39" s="383">
        <f>3750*12*7</f>
        <v>315000</v>
      </c>
      <c r="C39" s="417" t="s">
        <v>606</v>
      </c>
      <c r="D39" s="504" t="s">
        <v>85</v>
      </c>
    </row>
    <row r="40" spans="1:7">
      <c r="A40" s="385" t="s">
        <v>530</v>
      </c>
      <c r="B40" s="383">
        <f>4190*7</f>
        <v>29330</v>
      </c>
      <c r="C40" s="417" t="s">
        <v>531</v>
      </c>
      <c r="D40" s="505" t="s">
        <v>532</v>
      </c>
    </row>
    <row r="41" spans="1:7" ht="15.75">
      <c r="A41" s="507" t="s">
        <v>47</v>
      </c>
      <c r="B41" s="492">
        <f>SUM(B31:B40)</f>
        <v>881178.20815541106</v>
      </c>
      <c r="C41" s="509"/>
      <c r="D41" s="477"/>
    </row>
    <row r="42" spans="1:7">
      <c r="A42" s="496" t="s">
        <v>48</v>
      </c>
      <c r="B42" s="487"/>
      <c r="C42" s="485"/>
      <c r="D42" s="477"/>
    </row>
    <row r="43" spans="1:7" s="111" customFormat="1" ht="55.5" customHeight="1">
      <c r="A43" s="421" t="s">
        <v>49</v>
      </c>
      <c r="B43" s="413">
        <f>(G27*100.2134*6)+(G27*104.2268)+(1.71*(B12+B11)*12)</f>
        <v>324023.23843199993</v>
      </c>
      <c r="C43" s="422" t="s">
        <v>594</v>
      </c>
      <c r="D43" s="423"/>
      <c r="E43" s="513"/>
    </row>
    <row r="44" spans="1:7" ht="120">
      <c r="A44" s="426" t="s">
        <v>120</v>
      </c>
      <c r="B44" s="427">
        <f>17.51*(B12+B11)</f>
        <v>258396.821</v>
      </c>
      <c r="C44" s="428" t="s">
        <v>595</v>
      </c>
      <c r="D44" s="377"/>
    </row>
    <row r="45" spans="1:7" ht="63">
      <c r="A45" s="456" t="s">
        <v>51</v>
      </c>
      <c r="B45" s="457">
        <f>(654.11+263.56/3)*G34/1000</f>
        <v>42234.03686</v>
      </c>
      <c r="C45" s="458" t="s">
        <v>598</v>
      </c>
      <c r="D45" s="459" t="s">
        <v>91</v>
      </c>
    </row>
    <row r="46" spans="1:7" ht="60">
      <c r="A46" s="430" t="s">
        <v>52</v>
      </c>
      <c r="B46" s="431">
        <f>((G26/12*6*100.2134)+(G26/12*6*104.2268))+((G26/12*6*100.2134)+(G26/12*6*104.2268))/1.302*25%</f>
        <v>200266.30365500459</v>
      </c>
      <c r="C46" s="422" t="s">
        <v>599</v>
      </c>
      <c r="D46" s="377"/>
    </row>
    <row r="47" spans="1:7" ht="15.75">
      <c r="A47" s="515" t="s">
        <v>53</v>
      </c>
      <c r="B47" s="492">
        <f>SUM(B43:B46)</f>
        <v>824920.39994700451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5" s="105" customFormat="1" ht="12.75">
      <c r="A49" s="118" t="s">
        <v>501</v>
      </c>
      <c r="B49" s="201"/>
      <c r="C49" s="516"/>
      <c r="D49" s="477"/>
      <c r="E49" s="499"/>
    </row>
    <row r="50" spans="1:5">
      <c r="A50" s="514" t="s">
        <v>502</v>
      </c>
      <c r="B50" s="487"/>
      <c r="C50" s="517"/>
      <c r="D50" s="477"/>
    </row>
    <row r="51" spans="1:5">
      <c r="A51" s="514" t="s">
        <v>57</v>
      </c>
      <c r="B51" s="487"/>
      <c r="C51" s="517"/>
      <c r="D51" s="477"/>
    </row>
    <row r="52" spans="1:5">
      <c r="A52" s="514" t="s">
        <v>58</v>
      </c>
      <c r="B52" s="487"/>
      <c r="C52" s="517"/>
      <c r="D52" s="477"/>
    </row>
    <row r="53" spans="1:5">
      <c r="A53" s="514" t="s">
        <v>59</v>
      </c>
      <c r="B53" s="487"/>
      <c r="C53" s="517"/>
      <c r="D53" s="477"/>
    </row>
    <row r="54" spans="1:5" ht="15.75">
      <c r="A54" s="515" t="s">
        <v>60</v>
      </c>
      <c r="B54" s="492">
        <f>B49+B50</f>
        <v>0</v>
      </c>
      <c r="C54" s="518"/>
      <c r="D54" s="477"/>
    </row>
    <row r="55" spans="1:5">
      <c r="A55" s="519" t="s">
        <v>61</v>
      </c>
      <c r="B55" s="407">
        <f>3.051*(B12+B11)</f>
        <v>45023.912100000001</v>
      </c>
      <c r="C55" s="539" t="s">
        <v>596</v>
      </c>
      <c r="D55" s="477"/>
    </row>
    <row r="56" spans="1:5">
      <c r="A56" s="520" t="s">
        <v>62</v>
      </c>
      <c r="B56" s="407">
        <f>1.54*(B11+B12)</f>
        <v>22725.933999999997</v>
      </c>
      <c r="C56" s="540" t="s">
        <v>597</v>
      </c>
      <c r="D56" s="477"/>
    </row>
    <row r="57" spans="1:5">
      <c r="A57" s="488" t="s">
        <v>63</v>
      </c>
      <c r="B57" s="440">
        <f>(B41+B47)*0.348</f>
        <v>593722.31561964063</v>
      </c>
      <c r="C57" s="381" t="s">
        <v>514</v>
      </c>
      <c r="D57" s="477"/>
    </row>
    <row r="58" spans="1:5" ht="25.5">
      <c r="A58" s="488" t="s">
        <v>121</v>
      </c>
      <c r="B58" s="487">
        <f>(B41+B47+B54+B57)*0.132</f>
        <v>303576.36193131143</v>
      </c>
      <c r="C58" s="517" t="s">
        <v>503</v>
      </c>
      <c r="D58" s="477" t="s">
        <v>85</v>
      </c>
    </row>
    <row r="59" spans="1:5" ht="15.75">
      <c r="A59" s="441" t="s">
        <v>122</v>
      </c>
      <c r="B59" s="492">
        <f>B55+B56+B57+B58</f>
        <v>965048.52365095203</v>
      </c>
      <c r="C59" s="518"/>
      <c r="D59" s="477"/>
    </row>
    <row r="60" spans="1:5">
      <c r="A60" s="488" t="s">
        <v>64</v>
      </c>
      <c r="B60" s="487">
        <f>(B41+B47+B54+B59)*3%</f>
        <v>80134.413952601026</v>
      </c>
      <c r="C60" s="517"/>
      <c r="D60" s="477"/>
    </row>
    <row r="61" spans="1:5" ht="15.75">
      <c r="A61" s="522" t="s">
        <v>26</v>
      </c>
      <c r="B61" s="537">
        <f>B41+B47+B54+B59+B60</f>
        <v>2751281.545705969</v>
      </c>
      <c r="C61" s="524"/>
      <c r="D61" s="477"/>
    </row>
    <row r="62" spans="1:5" ht="15.75">
      <c r="A62" s="522" t="s">
        <v>65</v>
      </c>
      <c r="B62" s="537">
        <f>B61*1.2</f>
        <v>3301537.8548471625</v>
      </c>
      <c r="C62" s="524"/>
      <c r="D62" s="477"/>
    </row>
    <row r="63" spans="1:5" ht="15.75">
      <c r="A63" s="525"/>
      <c r="B63" s="492">
        <f>B28-B62</f>
        <v>410045.14115283731</v>
      </c>
      <c r="C63" s="526"/>
      <c r="D63" s="477"/>
    </row>
    <row r="64" spans="1:5" ht="30">
      <c r="A64" s="527" t="s">
        <v>123</v>
      </c>
      <c r="B64" s="528">
        <f>B62/(B11+B12)/12</f>
        <v>18.643781947035453</v>
      </c>
      <c r="C64" s="529" t="s">
        <v>534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7:D7"/>
    <mergeCell ref="A8:D9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topLeftCell="A2" workbookViewId="0">
      <selection activeCell="A2" sqref="A1:A1048576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3.85546875" style="162" hidden="1" customWidth="1"/>
    <col min="6" max="6" width="26.7109375" style="162" hidden="1" customWidth="1"/>
    <col min="7" max="7" width="12" style="162" hidden="1" customWidth="1"/>
    <col min="8" max="8" width="0" style="162" hidden="1" customWidth="1"/>
    <col min="9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15.75">
      <c r="C6" s="70"/>
    </row>
    <row r="7" spans="1:7" ht="15.75">
      <c r="C7" s="70"/>
    </row>
    <row r="8" spans="1:7" ht="15.75">
      <c r="A8" s="798" t="s">
        <v>478</v>
      </c>
      <c r="B8" s="798"/>
      <c r="C8" s="798"/>
      <c r="D8" s="798"/>
    </row>
    <row r="9" spans="1:7">
      <c r="A9" s="798" t="s">
        <v>557</v>
      </c>
      <c r="B9" s="798"/>
      <c r="C9" s="798"/>
      <c r="D9" s="798"/>
    </row>
    <row r="10" spans="1:7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6">
        <f>G16</f>
        <v>3565.5</v>
      </c>
      <c r="C12" s="76" t="s">
        <v>527</v>
      </c>
    </row>
    <row r="13" spans="1:7" s="469" customFormat="1" ht="15.75">
      <c r="A13" s="77" t="s">
        <v>3</v>
      </c>
      <c r="B13" s="195">
        <v>0</v>
      </c>
      <c r="C13" s="79"/>
    </row>
    <row r="14" spans="1:7" s="469" customFormat="1" ht="15.75">
      <c r="A14" s="77"/>
      <c r="B14" s="195"/>
      <c r="C14" s="79"/>
    </row>
    <row r="15" spans="1:7" ht="31.5">
      <c r="A15" s="471" t="s">
        <v>4</v>
      </c>
      <c r="B15" s="472" t="s">
        <v>5</v>
      </c>
      <c r="C15" s="472" t="s">
        <v>661</v>
      </c>
      <c r="D15" s="473" t="s">
        <v>84</v>
      </c>
      <c r="F15" s="253" t="s">
        <v>132</v>
      </c>
      <c r="G15" s="254">
        <v>13.38</v>
      </c>
    </row>
    <row r="16" spans="1:7">
      <c r="A16" s="474" t="s">
        <v>7</v>
      </c>
      <c r="B16" s="475">
        <f>B12*G15*12</f>
        <v>572476.67999999993</v>
      </c>
      <c r="C16" s="476" t="s">
        <v>686</v>
      </c>
      <c r="D16" s="477" t="s">
        <v>85</v>
      </c>
      <c r="F16" s="259" t="s">
        <v>134</v>
      </c>
      <c r="G16" s="260">
        <v>3565.5</v>
      </c>
    </row>
    <row r="17" spans="1:7">
      <c r="A17" s="535" t="s">
        <v>9</v>
      </c>
      <c r="B17" s="487">
        <v>0</v>
      </c>
      <c r="C17" s="503"/>
      <c r="D17" s="477"/>
      <c r="F17" s="259" t="s">
        <v>135</v>
      </c>
      <c r="G17" s="260">
        <v>80</v>
      </c>
    </row>
    <row r="18" spans="1:7" ht="15.75">
      <c r="A18" s="95" t="s">
        <v>12</v>
      </c>
      <c r="B18" s="551">
        <f>B16+B17</f>
        <v>572476.67999999993</v>
      </c>
      <c r="C18" s="485"/>
      <c r="D18" s="477"/>
      <c r="F18" s="259" t="s">
        <v>136</v>
      </c>
      <c r="G18" s="260">
        <v>218</v>
      </c>
    </row>
    <row r="19" spans="1:7">
      <c r="A19" s="486" t="s">
        <v>13</v>
      </c>
      <c r="B19" s="487">
        <f>B20+B21+B22+B23+B24+B25</f>
        <v>5189.76</v>
      </c>
      <c r="C19" s="485"/>
      <c r="D19" s="477"/>
      <c r="F19" s="247" t="s">
        <v>459</v>
      </c>
      <c r="G19" s="248">
        <v>0</v>
      </c>
    </row>
    <row r="20" spans="1:7">
      <c r="A20" s="488" t="s">
        <v>14</v>
      </c>
      <c r="B20" s="487">
        <f>34.98*12</f>
        <v>419.76</v>
      </c>
      <c r="C20" s="485" t="s">
        <v>15</v>
      </c>
      <c r="D20" s="477" t="s">
        <v>85</v>
      </c>
      <c r="F20" s="259" t="s">
        <v>139</v>
      </c>
      <c r="G20" s="260">
        <v>1140</v>
      </c>
    </row>
    <row r="21" spans="1:7">
      <c r="A21" s="488" t="s">
        <v>16</v>
      </c>
      <c r="B21" s="487">
        <f>137.5*12*0</f>
        <v>0</v>
      </c>
      <c r="C21" s="485" t="s">
        <v>17</v>
      </c>
      <c r="D21" s="477" t="s">
        <v>85</v>
      </c>
      <c r="F21" s="259" t="s">
        <v>140</v>
      </c>
      <c r="G21" s="260">
        <v>0</v>
      </c>
    </row>
    <row r="22" spans="1:7">
      <c r="A22" s="488" t="s">
        <v>18</v>
      </c>
      <c r="B22" s="487">
        <f>123.75*12</f>
        <v>1485</v>
      </c>
      <c r="C22" s="485" t="s">
        <v>19</v>
      </c>
      <c r="D22" s="477" t="s">
        <v>85</v>
      </c>
      <c r="F22" s="259" t="s">
        <v>141</v>
      </c>
      <c r="G22" s="260">
        <v>0</v>
      </c>
    </row>
    <row r="23" spans="1:7">
      <c r="A23" s="488" t="s">
        <v>20</v>
      </c>
      <c r="B23" s="487">
        <f>123.75*12</f>
        <v>1485</v>
      </c>
      <c r="C23" s="485" t="s">
        <v>19</v>
      </c>
      <c r="D23" s="477" t="s">
        <v>85</v>
      </c>
      <c r="F23" s="259" t="s">
        <v>142</v>
      </c>
      <c r="G23" s="260">
        <v>733.7</v>
      </c>
    </row>
    <row r="24" spans="1:7">
      <c r="A24" s="488" t="s">
        <v>66</v>
      </c>
      <c r="B24" s="487">
        <f>150*12</f>
        <v>1800</v>
      </c>
      <c r="C24" s="485" t="s">
        <v>21</v>
      </c>
      <c r="D24" s="477" t="s">
        <v>85</v>
      </c>
      <c r="F24" s="259" t="s">
        <v>143</v>
      </c>
      <c r="G24" s="277">
        <v>2358.1999999999998</v>
      </c>
    </row>
    <row r="25" spans="1:7">
      <c r="A25" s="488" t="s">
        <v>22</v>
      </c>
      <c r="B25" s="487">
        <f>137.5*12*0</f>
        <v>0</v>
      </c>
      <c r="C25" s="485" t="s">
        <v>17</v>
      </c>
      <c r="D25" s="477" t="s">
        <v>85</v>
      </c>
      <c r="F25" s="259" t="s">
        <v>144</v>
      </c>
      <c r="G25" s="278">
        <v>0</v>
      </c>
    </row>
    <row r="26" spans="1:7">
      <c r="A26" s="486" t="s">
        <v>24</v>
      </c>
      <c r="B26" s="487">
        <v>0</v>
      </c>
      <c r="C26" s="489"/>
      <c r="D26" s="490"/>
      <c r="F26" s="259" t="s">
        <v>145</v>
      </c>
      <c r="G26" s="278">
        <v>515.48</v>
      </c>
    </row>
    <row r="27" spans="1:7" ht="18.75">
      <c r="A27" s="491" t="s">
        <v>26</v>
      </c>
      <c r="B27" s="492">
        <f>B18+B19+B26</f>
        <v>577666.43999999994</v>
      </c>
      <c r="C27" s="489"/>
      <c r="D27" s="490"/>
      <c r="F27" s="259" t="s">
        <v>460</v>
      </c>
      <c r="G27" s="278">
        <v>11.37</v>
      </c>
    </row>
    <row r="28" spans="1:7" ht="15.75">
      <c r="A28" s="493" t="s">
        <v>27</v>
      </c>
      <c r="B28" s="100" t="s">
        <v>5</v>
      </c>
      <c r="C28" s="197" t="s">
        <v>28</v>
      </c>
      <c r="D28" s="490"/>
      <c r="F28" s="259" t="s">
        <v>461</v>
      </c>
      <c r="G28" s="278">
        <f>(G23/3+G24)/2920</f>
        <v>0.89135844748858439</v>
      </c>
    </row>
    <row r="29" spans="1:7">
      <c r="A29" s="494" t="s">
        <v>29</v>
      </c>
      <c r="B29" s="487"/>
      <c r="C29" s="495"/>
      <c r="D29" s="490"/>
      <c r="F29" s="259" t="s">
        <v>148</v>
      </c>
      <c r="G29" s="278">
        <v>0</v>
      </c>
    </row>
    <row r="30" spans="1:7" ht="75">
      <c r="A30" s="496" t="s">
        <v>30</v>
      </c>
      <c r="B30" s="340">
        <f>(G28*(3708+200)*1.5*1.15*1.083*1.302*6)+G28*((3708+200)*1.5*1.15*1.083*1.302*6)+(0.104*G23*12)</f>
        <v>102591.25341921115</v>
      </c>
      <c r="C30" s="341" t="s">
        <v>679</v>
      </c>
      <c r="D30" s="288" t="s">
        <v>86</v>
      </c>
      <c r="F30" s="259" t="s">
        <v>149</v>
      </c>
      <c r="G30" s="279">
        <v>0</v>
      </c>
    </row>
    <row r="31" spans="1:7" ht="30">
      <c r="A31" s="287" t="s">
        <v>31</v>
      </c>
      <c r="B31" s="342">
        <f>(G30*9921.13*6)+(G30*10317.11*6)</f>
        <v>0</v>
      </c>
      <c r="C31" s="343" t="s">
        <v>509</v>
      </c>
      <c r="D31" s="258"/>
      <c r="F31" s="247" t="s">
        <v>151</v>
      </c>
      <c r="G31" s="279">
        <v>5</v>
      </c>
    </row>
    <row r="32" spans="1:7" ht="45">
      <c r="A32" s="287" t="s">
        <v>32</v>
      </c>
      <c r="B32" s="498">
        <f>(G29*9921.13*6)+(G29*10317.11*6)+(G17*10.41812*12)*G22</f>
        <v>0</v>
      </c>
      <c r="C32" s="344" t="s">
        <v>672</v>
      </c>
      <c r="D32" s="258"/>
      <c r="F32" s="247" t="s">
        <v>462</v>
      </c>
      <c r="G32" s="279">
        <v>1026</v>
      </c>
    </row>
    <row r="33" spans="1:7">
      <c r="A33" s="287" t="s">
        <v>34</v>
      </c>
      <c r="B33" s="345">
        <f>(16.06+16.7)*G17</f>
        <v>2620.7999999999997</v>
      </c>
      <c r="C33" s="346" t="s">
        <v>468</v>
      </c>
      <c r="D33" s="258" t="s">
        <v>88</v>
      </c>
      <c r="F33" s="285" t="s">
        <v>463</v>
      </c>
      <c r="G33" s="286">
        <v>1026</v>
      </c>
    </row>
    <row r="34" spans="1:7" ht="30">
      <c r="A34" s="287" t="s">
        <v>35</v>
      </c>
      <c r="B34" s="345">
        <f>(49.72+51.71)*2*0</f>
        <v>0</v>
      </c>
      <c r="C34" s="346" t="s">
        <v>469</v>
      </c>
      <c r="D34" s="258"/>
      <c r="F34" s="289" t="s">
        <v>464</v>
      </c>
      <c r="G34" s="290">
        <v>12381</v>
      </c>
    </row>
    <row r="35" spans="1:7">
      <c r="A35" s="287" t="s">
        <v>36</v>
      </c>
      <c r="B35" s="347">
        <f>0.25*G32*12</f>
        <v>3078</v>
      </c>
      <c r="C35" s="348" t="s">
        <v>673</v>
      </c>
      <c r="D35" s="258" t="s">
        <v>85</v>
      </c>
      <c r="F35" s="247" t="s">
        <v>465</v>
      </c>
      <c r="G35" s="279">
        <v>1</v>
      </c>
    </row>
    <row r="36" spans="1:7">
      <c r="A36" s="291" t="s">
        <v>37</v>
      </c>
      <c r="B36" s="345">
        <f>2.34*G32*4</f>
        <v>9603.3599999999988</v>
      </c>
      <c r="C36" s="251" t="s">
        <v>555</v>
      </c>
      <c r="D36" s="258" t="s">
        <v>89</v>
      </c>
      <c r="F36" s="247" t="s">
        <v>467</v>
      </c>
      <c r="G36" s="279">
        <v>2</v>
      </c>
    </row>
    <row r="37" spans="1:7">
      <c r="A37" s="417" t="s">
        <v>158</v>
      </c>
      <c r="B37" s="413">
        <f>412.82*12</f>
        <v>4953.84</v>
      </c>
      <c r="C37" s="385" t="s">
        <v>708</v>
      </c>
      <c r="D37" s="377"/>
      <c r="F37" s="552"/>
      <c r="G37" s="553"/>
    </row>
    <row r="38" spans="1:7" ht="45">
      <c r="A38" s="417" t="s">
        <v>67</v>
      </c>
      <c r="B38" s="381">
        <f>(635.59*6+661.01*6)*G35</f>
        <v>7779.6</v>
      </c>
      <c r="C38" s="385" t="s">
        <v>496</v>
      </c>
      <c r="D38" s="377" t="s">
        <v>85</v>
      </c>
      <c r="F38" s="61"/>
    </row>
    <row r="39" spans="1:7" ht="30">
      <c r="A39" s="417" t="s">
        <v>190</v>
      </c>
      <c r="B39" s="418">
        <f>(466.1*6+484.74*6)*G19</f>
        <v>0</v>
      </c>
      <c r="C39" s="385" t="s">
        <v>497</v>
      </c>
      <c r="D39" s="377" t="s">
        <v>85</v>
      </c>
      <c r="F39" s="61"/>
    </row>
    <row r="40" spans="1:7" ht="15.75">
      <c r="A40" s="507" t="s">
        <v>47</v>
      </c>
      <c r="B40" s="492">
        <f>SUM(B30:B39)</f>
        <v>130626.85341921115</v>
      </c>
      <c r="C40" s="509"/>
      <c r="D40" s="477"/>
      <c r="F40" s="61"/>
      <c r="G40" s="162">
        <f>523.39/1.18</f>
        <v>443.55084745762713</v>
      </c>
    </row>
    <row r="41" spans="1:7">
      <c r="A41" s="496" t="s">
        <v>48</v>
      </c>
      <c r="B41" s="487"/>
      <c r="C41" s="485"/>
      <c r="D41" s="477"/>
    </row>
    <row r="42" spans="1:7" ht="60">
      <c r="A42" s="421" t="s">
        <v>49</v>
      </c>
      <c r="B42" s="413">
        <f>(G27*100.2134*6)+(G27*104.2268)+(1.71*(B13+B12)*12)</f>
        <v>81185.676863999994</v>
      </c>
      <c r="C42" s="422" t="s">
        <v>680</v>
      </c>
      <c r="D42" s="423"/>
    </row>
    <row r="43" spans="1:7" s="111" customFormat="1">
      <c r="A43" s="416" t="s">
        <v>50</v>
      </c>
      <c r="B43" s="407">
        <f>15.92*G20</f>
        <v>18148.8</v>
      </c>
      <c r="C43" s="424" t="s">
        <v>675</v>
      </c>
      <c r="D43" s="425" t="s">
        <v>90</v>
      </c>
    </row>
    <row r="44" spans="1:7" ht="120">
      <c r="A44" s="426" t="s">
        <v>120</v>
      </c>
      <c r="B44" s="427">
        <f>17.51*(B13+B12)</f>
        <v>62431.905000000006</v>
      </c>
      <c r="C44" s="428" t="s">
        <v>681</v>
      </c>
      <c r="D44" s="377"/>
    </row>
    <row r="45" spans="1:7" ht="63">
      <c r="A45" s="456" t="s">
        <v>51</v>
      </c>
      <c r="B45" s="457">
        <f>(654.11+263.56/3)*G34/1000</f>
        <v>9186.2480300000007</v>
      </c>
      <c r="C45" s="458" t="s">
        <v>682</v>
      </c>
      <c r="D45" s="459" t="s">
        <v>91</v>
      </c>
    </row>
    <row r="46" spans="1:7" ht="75">
      <c r="A46" s="430" t="s">
        <v>52</v>
      </c>
      <c r="B46" s="431">
        <f>((G26/12*6*100.2134)+(G26/12*6*104.2268))+((G26/12*6*100.2134)+(G26/12*6*104.2268))/1.302*25%</f>
        <v>62810.00876627957</v>
      </c>
      <c r="C46" s="422" t="s">
        <v>683</v>
      </c>
      <c r="D46" s="377"/>
    </row>
    <row r="47" spans="1:7" ht="15.75">
      <c r="A47" s="515" t="s">
        <v>53</v>
      </c>
      <c r="B47" s="492">
        <f>SUM(B43:B46)</f>
        <v>152576.96179627959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6" s="105" customFormat="1" ht="12.75">
      <c r="A49" s="118" t="s">
        <v>501</v>
      </c>
      <c r="B49" s="201"/>
      <c r="C49" s="516"/>
      <c r="D49" s="477"/>
    </row>
    <row r="50" spans="1:6">
      <c r="A50" s="514" t="s">
        <v>502</v>
      </c>
      <c r="B50" s="487"/>
      <c r="C50" s="517"/>
      <c r="D50" s="477"/>
    </row>
    <row r="51" spans="1:6">
      <c r="A51" s="514" t="s">
        <v>57</v>
      </c>
      <c r="B51" s="487"/>
      <c r="C51" s="517"/>
      <c r="D51" s="477"/>
    </row>
    <row r="52" spans="1:6">
      <c r="A52" s="514" t="s">
        <v>58</v>
      </c>
      <c r="B52" s="487"/>
      <c r="C52" s="517"/>
      <c r="D52" s="477"/>
    </row>
    <row r="53" spans="1:6">
      <c r="A53" s="514" t="s">
        <v>59</v>
      </c>
      <c r="B53" s="487"/>
      <c r="C53" s="517"/>
      <c r="D53" s="477"/>
    </row>
    <row r="54" spans="1:6" ht="15.75">
      <c r="A54" s="515" t="s">
        <v>60</v>
      </c>
      <c r="B54" s="492">
        <f>B49+B50</f>
        <v>0</v>
      </c>
      <c r="C54" s="518"/>
      <c r="D54" s="477"/>
    </row>
    <row r="55" spans="1:6">
      <c r="A55" s="519" t="s">
        <v>61</v>
      </c>
      <c r="B55" s="407">
        <f>3.051*(B13+B12)</f>
        <v>10878.3405</v>
      </c>
      <c r="C55" s="539" t="s">
        <v>684</v>
      </c>
      <c r="D55" s="477"/>
    </row>
    <row r="56" spans="1:6" ht="15.75">
      <c r="A56" s="520" t="s">
        <v>62</v>
      </c>
      <c r="B56" s="407">
        <f>1.54*(B12+B13)</f>
        <v>5490.87</v>
      </c>
      <c r="C56" s="540" t="s">
        <v>685</v>
      </c>
      <c r="D56" s="477"/>
      <c r="F56" s="521"/>
    </row>
    <row r="57" spans="1:6">
      <c r="A57" s="488" t="s">
        <v>63</v>
      </c>
      <c r="B57" s="440">
        <f>(B41+B47)*0.348</f>
        <v>53096.782705105295</v>
      </c>
      <c r="C57" s="381" t="s">
        <v>514</v>
      </c>
      <c r="D57" s="477"/>
    </row>
    <row r="58" spans="1:6" ht="38.25">
      <c r="A58" s="488" t="s">
        <v>121</v>
      </c>
      <c r="B58" s="487">
        <f>(B41+B47+B54+B57)*0.132</f>
        <v>27148.934274182804</v>
      </c>
      <c r="C58" s="517" t="s">
        <v>503</v>
      </c>
      <c r="D58" s="477" t="s">
        <v>85</v>
      </c>
    </row>
    <row r="59" spans="1:6" ht="15.75">
      <c r="A59" s="441" t="s">
        <v>122</v>
      </c>
      <c r="B59" s="492">
        <f>B55+B56+B57+B58</f>
        <v>96614.927479288104</v>
      </c>
      <c r="C59" s="518"/>
      <c r="D59" s="477"/>
    </row>
    <row r="60" spans="1:6">
      <c r="A60" s="488" t="s">
        <v>64</v>
      </c>
      <c r="B60" s="487">
        <f>(B41+B47+B54+B59)*3%</f>
        <v>7475.7566782670301</v>
      </c>
      <c r="C60" s="517"/>
      <c r="D60" s="477"/>
    </row>
    <row r="61" spans="1:6" ht="15.75">
      <c r="A61" s="522" t="s">
        <v>26</v>
      </c>
      <c r="B61" s="537">
        <f>B41+B47+B54+B59+B60</f>
        <v>256667.64595383473</v>
      </c>
      <c r="C61" s="524"/>
      <c r="D61" s="477"/>
    </row>
    <row r="62" spans="1:6" ht="15.75">
      <c r="A62" s="522" t="s">
        <v>65</v>
      </c>
      <c r="B62" s="537">
        <f>B61*1.2</f>
        <v>308001.17514460167</v>
      </c>
      <c r="C62" s="524"/>
      <c r="D62" s="477"/>
    </row>
    <row r="63" spans="1:6" ht="15.75">
      <c r="A63" s="525"/>
      <c r="B63" s="492">
        <f>B27-B62</f>
        <v>269665.26485539827</v>
      </c>
      <c r="C63" s="526"/>
      <c r="D63" s="477"/>
    </row>
    <row r="64" spans="1:6" ht="30">
      <c r="A64" s="527" t="s">
        <v>123</v>
      </c>
      <c r="B64" s="528">
        <f>B62/(B12+B13)/12</f>
        <v>7.1986438354742601</v>
      </c>
      <c r="C64" s="529" t="s">
        <v>558</v>
      </c>
      <c r="D64" s="530"/>
    </row>
    <row r="65" spans="1:4">
      <c r="A65" s="531"/>
      <c r="B65" s="532"/>
      <c r="C65" s="533"/>
      <c r="D65" s="534"/>
    </row>
    <row r="66" spans="1:4">
      <c r="A66" s="799" t="s">
        <v>124</v>
      </c>
      <c r="B66" s="799"/>
      <c r="C66" s="799"/>
      <c r="D66" s="205"/>
    </row>
    <row r="67" spans="1:4">
      <c r="A67" s="800" t="s">
        <v>518</v>
      </c>
      <c r="B67" s="800"/>
      <c r="C67" s="800"/>
      <c r="D67" s="205"/>
    </row>
    <row r="68" spans="1:4">
      <c r="A68" s="800" t="s">
        <v>519</v>
      </c>
      <c r="B68" s="800"/>
      <c r="C68" s="800"/>
      <c r="D68" s="205"/>
    </row>
    <row r="69" spans="1:4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8:D8"/>
    <mergeCell ref="A9:D10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workbookViewId="0">
      <selection activeCell="E1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2.7109375" style="162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15.75">
      <c r="C6" s="70"/>
    </row>
    <row r="7" spans="1:7" ht="15.75">
      <c r="C7" s="70"/>
    </row>
    <row r="8" spans="1:7" ht="15.75">
      <c r="A8" s="798" t="s">
        <v>478</v>
      </c>
      <c r="B8" s="798"/>
      <c r="C8" s="798"/>
      <c r="D8" s="798"/>
    </row>
    <row r="9" spans="1:7">
      <c r="A9" s="798" t="s">
        <v>559</v>
      </c>
      <c r="B9" s="798"/>
      <c r="C9" s="798"/>
      <c r="D9" s="798"/>
    </row>
    <row r="10" spans="1:7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6">
        <f>G16</f>
        <v>3540.5</v>
      </c>
      <c r="C12" s="76" t="s">
        <v>527</v>
      </c>
    </row>
    <row r="13" spans="1:7" s="469" customFormat="1" ht="15.75">
      <c r="A13" s="77" t="s">
        <v>3</v>
      </c>
      <c r="B13" s="195">
        <v>0</v>
      </c>
      <c r="C13" s="79"/>
    </row>
    <row r="14" spans="1:7" s="469" customFormat="1" ht="15.75">
      <c r="A14" s="77"/>
      <c r="B14" s="195"/>
      <c r="C14" s="79"/>
    </row>
    <row r="15" spans="1:7" ht="31.5">
      <c r="A15" s="471" t="s">
        <v>4</v>
      </c>
      <c r="B15" s="472" t="s">
        <v>5</v>
      </c>
      <c r="C15" s="472" t="s">
        <v>661</v>
      </c>
      <c r="D15" s="473" t="s">
        <v>84</v>
      </c>
      <c r="F15" s="253" t="s">
        <v>132</v>
      </c>
      <c r="G15" s="254">
        <v>13.54</v>
      </c>
    </row>
    <row r="16" spans="1:7">
      <c r="A16" s="474" t="s">
        <v>7</v>
      </c>
      <c r="B16" s="475">
        <f>B12*G15*12</f>
        <v>575260.43999999994</v>
      </c>
      <c r="C16" s="476" t="s">
        <v>687</v>
      </c>
      <c r="D16" s="477" t="s">
        <v>85</v>
      </c>
      <c r="F16" s="259" t="s">
        <v>134</v>
      </c>
      <c r="G16" s="260">
        <v>3540.5</v>
      </c>
    </row>
    <row r="17" spans="1:7">
      <c r="A17" s="535" t="s">
        <v>9</v>
      </c>
      <c r="B17" s="487">
        <v>0</v>
      </c>
      <c r="C17" s="503"/>
      <c r="D17" s="477"/>
      <c r="F17" s="259" t="s">
        <v>135</v>
      </c>
      <c r="G17" s="260">
        <v>80</v>
      </c>
    </row>
    <row r="18" spans="1:7" ht="15.75">
      <c r="A18" s="95" t="s">
        <v>12</v>
      </c>
      <c r="B18" s="487">
        <f>B16+B17</f>
        <v>575260.43999999994</v>
      </c>
      <c r="C18" s="485"/>
      <c r="D18" s="477"/>
      <c r="F18" s="259" t="s">
        <v>136</v>
      </c>
      <c r="G18" s="260">
        <v>182</v>
      </c>
    </row>
    <row r="19" spans="1:7">
      <c r="A19" s="486" t="s">
        <v>13</v>
      </c>
      <c r="B19" s="487">
        <f>B20+B21+B22+B23+B24+B25</f>
        <v>6839.76</v>
      </c>
      <c r="C19" s="485"/>
      <c r="D19" s="477"/>
      <c r="F19" s="247" t="s">
        <v>459</v>
      </c>
      <c r="G19" s="248">
        <v>0</v>
      </c>
    </row>
    <row r="20" spans="1:7">
      <c r="A20" s="488" t="s">
        <v>14</v>
      </c>
      <c r="B20" s="487">
        <f>34.98*12</f>
        <v>419.76</v>
      </c>
      <c r="C20" s="485" t="s">
        <v>15</v>
      </c>
      <c r="D20" s="477" t="s">
        <v>85</v>
      </c>
      <c r="F20" s="259" t="s">
        <v>139</v>
      </c>
      <c r="G20" s="260">
        <v>1130</v>
      </c>
    </row>
    <row r="21" spans="1:7">
      <c r="A21" s="488" t="s">
        <v>16</v>
      </c>
      <c r="B21" s="487">
        <f>137.5*12</f>
        <v>1650</v>
      </c>
      <c r="C21" s="485" t="s">
        <v>17</v>
      </c>
      <c r="D21" s="477" t="s">
        <v>85</v>
      </c>
      <c r="F21" s="259" t="s">
        <v>140</v>
      </c>
      <c r="G21" s="260">
        <v>0</v>
      </c>
    </row>
    <row r="22" spans="1:7">
      <c r="A22" s="488" t="s">
        <v>18</v>
      </c>
      <c r="B22" s="487">
        <f>123.75*12</f>
        <v>1485</v>
      </c>
      <c r="C22" s="485" t="s">
        <v>19</v>
      </c>
      <c r="D22" s="477" t="s">
        <v>85</v>
      </c>
      <c r="F22" s="259" t="s">
        <v>141</v>
      </c>
      <c r="G22" s="260">
        <v>0</v>
      </c>
    </row>
    <row r="23" spans="1:7">
      <c r="A23" s="488" t="s">
        <v>20</v>
      </c>
      <c r="B23" s="487">
        <f>123.75*12</f>
        <v>1485</v>
      </c>
      <c r="C23" s="485" t="s">
        <v>19</v>
      </c>
      <c r="D23" s="477" t="s">
        <v>85</v>
      </c>
      <c r="F23" s="259" t="s">
        <v>142</v>
      </c>
      <c r="G23" s="260">
        <v>1619.1</v>
      </c>
    </row>
    <row r="24" spans="1:7">
      <c r="A24" s="488" t="s">
        <v>66</v>
      </c>
      <c r="B24" s="487">
        <f>150*12</f>
        <v>1800</v>
      </c>
      <c r="C24" s="485" t="s">
        <v>21</v>
      </c>
      <c r="D24" s="477" t="s">
        <v>85</v>
      </c>
      <c r="F24" s="259" t="s">
        <v>143</v>
      </c>
      <c r="G24" s="277">
        <v>3191.2</v>
      </c>
    </row>
    <row r="25" spans="1:7">
      <c r="A25" s="488" t="s">
        <v>22</v>
      </c>
      <c r="B25" s="487">
        <f>137.5*12*0</f>
        <v>0</v>
      </c>
      <c r="C25" s="485" t="s">
        <v>17</v>
      </c>
      <c r="D25" s="477" t="s">
        <v>85</v>
      </c>
      <c r="F25" s="259" t="s">
        <v>144</v>
      </c>
      <c r="G25" s="278">
        <v>0</v>
      </c>
    </row>
    <row r="26" spans="1:7">
      <c r="A26" s="486" t="s">
        <v>24</v>
      </c>
      <c r="B26" s="487">
        <v>0</v>
      </c>
      <c r="C26" s="489"/>
      <c r="D26" s="490"/>
      <c r="F26" s="259" t="s">
        <v>145</v>
      </c>
      <c r="G26" s="278">
        <v>506.53</v>
      </c>
    </row>
    <row r="27" spans="1:7" ht="18.75">
      <c r="A27" s="491" t="s">
        <v>26</v>
      </c>
      <c r="B27" s="492">
        <f>B18+B19+B26</f>
        <v>582100.19999999995</v>
      </c>
      <c r="C27" s="489"/>
      <c r="D27" s="490"/>
      <c r="F27" s="259" t="s">
        <v>460</v>
      </c>
      <c r="G27" s="278">
        <v>10.67</v>
      </c>
    </row>
    <row r="28" spans="1:7" ht="15.75">
      <c r="A28" s="493" t="s">
        <v>27</v>
      </c>
      <c r="B28" s="100" t="s">
        <v>5</v>
      </c>
      <c r="C28" s="197" t="s">
        <v>28</v>
      </c>
      <c r="D28" s="490"/>
      <c r="F28" s="259" t="s">
        <v>461</v>
      </c>
      <c r="G28" s="278">
        <f>(G23/3+G24)/2920</f>
        <v>1.2777054794520546</v>
      </c>
    </row>
    <row r="29" spans="1:7">
      <c r="A29" s="494" t="s">
        <v>29</v>
      </c>
      <c r="B29" s="487"/>
      <c r="C29" s="495"/>
      <c r="D29" s="490"/>
      <c r="F29" s="259" t="s">
        <v>148</v>
      </c>
      <c r="G29" s="278">
        <v>0</v>
      </c>
    </row>
    <row r="30" spans="1:7" ht="75">
      <c r="A30" s="496" t="s">
        <v>30</v>
      </c>
      <c r="B30" s="340">
        <f>(G28*(3708+200)*1.5*1.15*1.083*1.302*6)+G28*((3708+200)*1.5*1.15*1.083*1.302*6)+(0.104*G23*12)</f>
        <v>147766.1180604132</v>
      </c>
      <c r="C30" s="341" t="s">
        <v>688</v>
      </c>
      <c r="D30" s="288" t="s">
        <v>86</v>
      </c>
      <c r="F30" s="259" t="s">
        <v>149</v>
      </c>
      <c r="G30" s="279">
        <v>0</v>
      </c>
    </row>
    <row r="31" spans="1:7" ht="30">
      <c r="A31" s="287" t="s">
        <v>31</v>
      </c>
      <c r="B31" s="342">
        <f>(G30*9921.13*6)+(G30*10317.11*6)</f>
        <v>0</v>
      </c>
      <c r="C31" s="343" t="s">
        <v>509</v>
      </c>
      <c r="D31" s="258"/>
      <c r="F31" s="247" t="s">
        <v>151</v>
      </c>
      <c r="G31" s="279">
        <v>5</v>
      </c>
    </row>
    <row r="32" spans="1:7" ht="45">
      <c r="A32" s="287" t="s">
        <v>32</v>
      </c>
      <c r="B32" s="498">
        <f>(G29*9921.13*6)+(G29*10317.11*6)+(G17*10.41812*12)*G22</f>
        <v>0</v>
      </c>
      <c r="C32" s="344" t="s">
        <v>672</v>
      </c>
      <c r="D32" s="258"/>
      <c r="F32" s="247" t="s">
        <v>462</v>
      </c>
      <c r="G32" s="279">
        <v>868.7</v>
      </c>
    </row>
    <row r="33" spans="1:7">
      <c r="A33" s="287" t="s">
        <v>34</v>
      </c>
      <c r="B33" s="345">
        <f>(16.06+16.7)*G17</f>
        <v>2620.7999999999997</v>
      </c>
      <c r="C33" s="346" t="s">
        <v>468</v>
      </c>
      <c r="D33" s="258" t="s">
        <v>88</v>
      </c>
      <c r="F33" s="285" t="s">
        <v>463</v>
      </c>
      <c r="G33" s="286">
        <v>868.7</v>
      </c>
    </row>
    <row r="34" spans="1:7" ht="30">
      <c r="A34" s="287" t="s">
        <v>35</v>
      </c>
      <c r="B34" s="345">
        <f>(49.72+51.71)*2*0</f>
        <v>0</v>
      </c>
      <c r="C34" s="346" t="s">
        <v>469</v>
      </c>
      <c r="D34" s="258"/>
      <c r="F34" s="289" t="s">
        <v>464</v>
      </c>
      <c r="G34" s="290">
        <v>12596</v>
      </c>
    </row>
    <row r="35" spans="1:7">
      <c r="A35" s="287" t="s">
        <v>36</v>
      </c>
      <c r="B35" s="347">
        <f>0.25*G32*12</f>
        <v>2606.1000000000004</v>
      </c>
      <c r="C35" s="348" t="s">
        <v>689</v>
      </c>
      <c r="D35" s="258" t="s">
        <v>85</v>
      </c>
      <c r="F35" s="247" t="s">
        <v>465</v>
      </c>
      <c r="G35" s="279">
        <v>1</v>
      </c>
    </row>
    <row r="36" spans="1:7">
      <c r="A36" s="291" t="s">
        <v>37</v>
      </c>
      <c r="B36" s="345">
        <f>2.34*G32*4</f>
        <v>8131.0320000000002</v>
      </c>
      <c r="C36" s="251" t="s">
        <v>690</v>
      </c>
      <c r="D36" s="258" t="s">
        <v>89</v>
      </c>
      <c r="F36" s="247" t="s">
        <v>467</v>
      </c>
      <c r="G36" s="279">
        <v>2</v>
      </c>
    </row>
    <row r="37" spans="1:7">
      <c r="A37" s="417" t="s">
        <v>158</v>
      </c>
      <c r="B37" s="413">
        <f>410.09*12</f>
        <v>4921.08</v>
      </c>
      <c r="C37" s="385" t="s">
        <v>709</v>
      </c>
      <c r="D37" s="377"/>
      <c r="F37" s="552"/>
      <c r="G37" s="553"/>
    </row>
    <row r="38" spans="1:7" ht="45">
      <c r="A38" s="417" t="s">
        <v>67</v>
      </c>
      <c r="B38" s="381">
        <f>(635.59*6+661.01*6)*G35</f>
        <v>7779.6</v>
      </c>
      <c r="C38" s="385" t="s">
        <v>496</v>
      </c>
      <c r="D38" s="377" t="s">
        <v>85</v>
      </c>
    </row>
    <row r="39" spans="1:7" ht="30">
      <c r="A39" s="417" t="s">
        <v>190</v>
      </c>
      <c r="B39" s="418">
        <f>(466.1*6+484.74*6)*G19</f>
        <v>0</v>
      </c>
      <c r="C39" s="385" t="s">
        <v>497</v>
      </c>
      <c r="D39" s="377" t="s">
        <v>85</v>
      </c>
    </row>
    <row r="40" spans="1:7" ht="15.75">
      <c r="A40" s="507" t="s">
        <v>47</v>
      </c>
      <c r="B40" s="492">
        <f>SUM(B30:B39)</f>
        <v>173824.73006041319</v>
      </c>
      <c r="C40" s="509"/>
      <c r="D40" s="477"/>
    </row>
    <row r="41" spans="1:7">
      <c r="A41" s="496" t="s">
        <v>48</v>
      </c>
      <c r="B41" s="487"/>
      <c r="C41" s="485"/>
      <c r="D41" s="477"/>
    </row>
    <row r="42" spans="1:7" ht="60">
      <c r="A42" s="421" t="s">
        <v>49</v>
      </c>
      <c r="B42" s="413">
        <f>(G27*100.2134*6)+(G27*104.2268)+(1.71*(B13+B12)*12)</f>
        <v>80178.821823999999</v>
      </c>
      <c r="C42" s="422" t="s">
        <v>691</v>
      </c>
      <c r="D42" s="423"/>
    </row>
    <row r="43" spans="1:7" s="111" customFormat="1">
      <c r="A43" s="416" t="s">
        <v>50</v>
      </c>
      <c r="B43" s="407">
        <f>15.92*G20</f>
        <v>17989.599999999999</v>
      </c>
      <c r="C43" s="424" t="s">
        <v>692</v>
      </c>
      <c r="D43" s="425" t="s">
        <v>90</v>
      </c>
    </row>
    <row r="44" spans="1:7" ht="120">
      <c r="A44" s="426" t="s">
        <v>120</v>
      </c>
      <c r="B44" s="427">
        <f>17.51*(B13+B12)</f>
        <v>61994.155000000006</v>
      </c>
      <c r="C44" s="428" t="s">
        <v>693</v>
      </c>
      <c r="D44" s="377"/>
    </row>
    <row r="45" spans="1:7" ht="63">
      <c r="A45" s="456" t="s">
        <v>51</v>
      </c>
      <c r="B45" s="457">
        <f>(654.11+263.56/3)*G34/1000</f>
        <v>9345.7701466666658</v>
      </c>
      <c r="C45" s="458" t="s">
        <v>694</v>
      </c>
      <c r="D45" s="459" t="s">
        <v>91</v>
      </c>
    </row>
    <row r="46" spans="1:7" ht="75">
      <c r="A46" s="430" t="s">
        <v>52</v>
      </c>
      <c r="B46" s="431">
        <f>((G26/12*6*100.2134)+(G26/12*6*104.2268))+((G26/12*6*100.2134)+(G26/12*6*104.2268))/1.302*25%</f>
        <v>61719.472608798766</v>
      </c>
      <c r="C46" s="422" t="s">
        <v>695</v>
      </c>
      <c r="D46" s="377"/>
    </row>
    <row r="47" spans="1:7" ht="15.75">
      <c r="A47" s="515" t="s">
        <v>53</v>
      </c>
      <c r="B47" s="492">
        <f>SUM(B42:B46)</f>
        <v>231227.81957946543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4" s="105" customFormat="1" ht="12.75">
      <c r="A49" s="118" t="s">
        <v>501</v>
      </c>
      <c r="B49" s="201"/>
      <c r="C49" s="516"/>
      <c r="D49" s="477"/>
    </row>
    <row r="50" spans="1:4">
      <c r="A50" s="514" t="s">
        <v>502</v>
      </c>
      <c r="B50" s="487"/>
      <c r="C50" s="517"/>
      <c r="D50" s="477"/>
    </row>
    <row r="51" spans="1:4">
      <c r="A51" s="514" t="s">
        <v>57</v>
      </c>
      <c r="B51" s="487"/>
      <c r="C51" s="517"/>
      <c r="D51" s="477"/>
    </row>
    <row r="52" spans="1:4">
      <c r="A52" s="514" t="s">
        <v>58</v>
      </c>
      <c r="B52" s="487"/>
      <c r="C52" s="517"/>
      <c r="D52" s="477"/>
    </row>
    <row r="53" spans="1:4">
      <c r="A53" s="514" t="s">
        <v>59</v>
      </c>
      <c r="B53" s="487"/>
      <c r="C53" s="517"/>
      <c r="D53" s="477"/>
    </row>
    <row r="54" spans="1:4" ht="15.75">
      <c r="A54" s="515" t="s">
        <v>60</v>
      </c>
      <c r="B54" s="492">
        <f>B49+B50</f>
        <v>0</v>
      </c>
      <c r="C54" s="518"/>
      <c r="D54" s="477"/>
    </row>
    <row r="55" spans="1:4">
      <c r="A55" s="519" t="s">
        <v>61</v>
      </c>
      <c r="B55" s="407">
        <f>3.051*(B13+B12)</f>
        <v>10802.065500000001</v>
      </c>
      <c r="C55" s="539" t="s">
        <v>705</v>
      </c>
      <c r="D55" s="477"/>
    </row>
    <row r="56" spans="1:4">
      <c r="A56" s="520" t="s">
        <v>62</v>
      </c>
      <c r="B56" s="407">
        <f>1.54*(B13+B12)</f>
        <v>5452.37</v>
      </c>
      <c r="C56" s="540" t="s">
        <v>706</v>
      </c>
      <c r="D56" s="477"/>
    </row>
    <row r="57" spans="1:4">
      <c r="A57" s="488" t="s">
        <v>63</v>
      </c>
      <c r="B57" s="440">
        <f>(B40+B47)*0.348</f>
        <v>140958.28727467774</v>
      </c>
      <c r="C57" s="381" t="s">
        <v>514</v>
      </c>
      <c r="D57" s="477"/>
    </row>
    <row r="58" spans="1:4" ht="38.25">
      <c r="A58" s="488" t="s">
        <v>121</v>
      </c>
      <c r="B58" s="487">
        <f>(B40+B47+B54+B57)*0.132</f>
        <v>72073.430472721433</v>
      </c>
      <c r="C58" s="517" t="s">
        <v>503</v>
      </c>
      <c r="D58" s="477" t="s">
        <v>85</v>
      </c>
    </row>
    <row r="59" spans="1:4" ht="15.75">
      <c r="A59" s="441" t="s">
        <v>122</v>
      </c>
      <c r="B59" s="492">
        <f>B55+B56+B57+B58</f>
        <v>229286.15324739917</v>
      </c>
      <c r="C59" s="518"/>
      <c r="D59" s="477"/>
    </row>
    <row r="60" spans="1:4">
      <c r="A60" s="488" t="s">
        <v>64</v>
      </c>
      <c r="B60" s="487">
        <f>(B40+B47+B54+B59)*3%</f>
        <v>19030.161086618333</v>
      </c>
      <c r="C60" s="517"/>
      <c r="D60" s="477"/>
    </row>
    <row r="61" spans="1:4" ht="15.75">
      <c r="A61" s="522" t="s">
        <v>26</v>
      </c>
      <c r="B61" s="537">
        <f>B40+B47+B54+B59+B60</f>
        <v>653368.86397389614</v>
      </c>
      <c r="C61" s="524"/>
      <c r="D61" s="477"/>
    </row>
    <row r="62" spans="1:4" ht="15.75">
      <c r="A62" s="522" t="s">
        <v>65</v>
      </c>
      <c r="B62" s="537">
        <f>B61*1.2</f>
        <v>784042.63676867529</v>
      </c>
      <c r="C62" s="524"/>
      <c r="D62" s="477"/>
    </row>
    <row r="63" spans="1:4" ht="15.75">
      <c r="A63" s="525"/>
      <c r="B63" s="492">
        <f>B27-B62</f>
        <v>-201942.43676867534</v>
      </c>
      <c r="C63" s="526"/>
      <c r="D63" s="477"/>
    </row>
    <row r="64" spans="1:4" ht="30">
      <c r="A64" s="527" t="s">
        <v>123</v>
      </c>
      <c r="B64" s="528">
        <f>B62/(B12+B13)/12</f>
        <v>18.45414105278622</v>
      </c>
      <c r="C64" s="529" t="s">
        <v>560</v>
      </c>
      <c r="D64" s="530"/>
    </row>
    <row r="65" spans="1:4">
      <c r="A65" s="531"/>
      <c r="B65" s="532"/>
      <c r="C65" s="533"/>
      <c r="D65" s="534"/>
    </row>
    <row r="66" spans="1:4">
      <c r="A66" s="799" t="s">
        <v>124</v>
      </c>
      <c r="B66" s="799"/>
      <c r="C66" s="799"/>
      <c r="D66" s="205"/>
    </row>
    <row r="67" spans="1:4" ht="29.25" customHeight="1">
      <c r="A67" s="800" t="s">
        <v>518</v>
      </c>
      <c r="B67" s="800"/>
      <c r="C67" s="800"/>
      <c r="D67" s="205"/>
    </row>
    <row r="68" spans="1:4" ht="29.25" customHeight="1">
      <c r="A68" s="800" t="s">
        <v>519</v>
      </c>
      <c r="B68" s="800"/>
      <c r="C68" s="800"/>
      <c r="D68" s="205"/>
    </row>
    <row r="69" spans="1:4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8:D8"/>
    <mergeCell ref="A9:D10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workbookViewId="0">
      <selection activeCell="E46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2.7109375" style="162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15.75">
      <c r="C6" s="70"/>
    </row>
    <row r="7" spans="1:7" ht="15.75">
      <c r="C7" s="70"/>
    </row>
    <row r="8" spans="1:7" ht="32.25" customHeight="1">
      <c r="A8" s="798" t="s">
        <v>478</v>
      </c>
      <c r="B8" s="798"/>
      <c r="C8" s="798"/>
      <c r="D8" s="798"/>
    </row>
    <row r="9" spans="1:7" ht="15" customHeight="1">
      <c r="A9" s="798" t="s">
        <v>561</v>
      </c>
      <c r="B9" s="798"/>
      <c r="C9" s="798"/>
      <c r="D9" s="798"/>
    </row>
    <row r="10" spans="1:7" ht="32.2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6">
        <f>G16</f>
        <v>3551.9</v>
      </c>
      <c r="C12" s="76" t="s">
        <v>527</v>
      </c>
    </row>
    <row r="13" spans="1:7" s="469" customFormat="1" ht="15.75">
      <c r="A13" s="77" t="s">
        <v>3</v>
      </c>
      <c r="B13" s="195">
        <v>0</v>
      </c>
      <c r="C13" s="79"/>
    </row>
    <row r="14" spans="1:7" s="469" customFormat="1" ht="15.75">
      <c r="A14" s="77"/>
      <c r="B14" s="195"/>
      <c r="C14" s="79"/>
    </row>
    <row r="15" spans="1:7" ht="31.5">
      <c r="A15" s="471" t="s">
        <v>4</v>
      </c>
      <c r="B15" s="472" t="s">
        <v>5</v>
      </c>
      <c r="C15" s="472" t="s">
        <v>661</v>
      </c>
      <c r="D15" s="473" t="s">
        <v>84</v>
      </c>
      <c r="F15" s="253" t="s">
        <v>132</v>
      </c>
      <c r="G15" s="254">
        <v>13.59</v>
      </c>
    </row>
    <row r="16" spans="1:7">
      <c r="A16" s="474" t="s">
        <v>7</v>
      </c>
      <c r="B16" s="475">
        <f>B12*G15*12</f>
        <v>579243.85200000007</v>
      </c>
      <c r="C16" s="476" t="s">
        <v>696</v>
      </c>
      <c r="D16" s="477" t="s">
        <v>85</v>
      </c>
      <c r="F16" s="259" t="s">
        <v>134</v>
      </c>
      <c r="G16" s="260">
        <v>3551.9</v>
      </c>
    </row>
    <row r="17" spans="1:7">
      <c r="A17" s="535" t="s">
        <v>9</v>
      </c>
      <c r="B17" s="487">
        <v>0</v>
      </c>
      <c r="C17" s="503"/>
      <c r="D17" s="477"/>
      <c r="F17" s="259" t="s">
        <v>135</v>
      </c>
      <c r="G17" s="260">
        <v>80</v>
      </c>
    </row>
    <row r="18" spans="1:7" ht="15.75">
      <c r="A18" s="95" t="s">
        <v>12</v>
      </c>
      <c r="B18" s="487">
        <f>B16+B17</f>
        <v>579243.85200000007</v>
      </c>
      <c r="C18" s="485"/>
      <c r="D18" s="477"/>
      <c r="F18" s="259" t="s">
        <v>136</v>
      </c>
      <c r="G18" s="260">
        <v>179</v>
      </c>
    </row>
    <row r="19" spans="1:7">
      <c r="A19" s="486" t="s">
        <v>13</v>
      </c>
      <c r="B19" s="487">
        <f>B20+B21+B22+B23+B24+B25</f>
        <v>5189.76</v>
      </c>
      <c r="C19" s="485"/>
      <c r="D19" s="477"/>
      <c r="F19" s="247" t="s">
        <v>459</v>
      </c>
      <c r="G19" s="248">
        <v>0</v>
      </c>
    </row>
    <row r="20" spans="1:7">
      <c r="A20" s="488" t="s">
        <v>14</v>
      </c>
      <c r="B20" s="487">
        <f>34.98*12</f>
        <v>419.76</v>
      </c>
      <c r="C20" s="485" t="s">
        <v>15</v>
      </c>
      <c r="D20" s="477" t="s">
        <v>85</v>
      </c>
      <c r="F20" s="259" t="s">
        <v>139</v>
      </c>
      <c r="G20" s="260">
        <v>1130</v>
      </c>
    </row>
    <row r="21" spans="1:7">
      <c r="A21" s="488" t="s">
        <v>16</v>
      </c>
      <c r="B21" s="487">
        <f>137.5*12*0</f>
        <v>0</v>
      </c>
      <c r="C21" s="485" t="s">
        <v>17</v>
      </c>
      <c r="D21" s="477" t="s">
        <v>85</v>
      </c>
      <c r="F21" s="259" t="s">
        <v>140</v>
      </c>
      <c r="G21" s="260">
        <v>0</v>
      </c>
    </row>
    <row r="22" spans="1:7">
      <c r="A22" s="488" t="s">
        <v>18</v>
      </c>
      <c r="B22" s="487">
        <f>123.75*12</f>
        <v>1485</v>
      </c>
      <c r="C22" s="485" t="s">
        <v>19</v>
      </c>
      <c r="D22" s="477" t="s">
        <v>85</v>
      </c>
      <c r="F22" s="259" t="s">
        <v>141</v>
      </c>
      <c r="G22" s="260">
        <v>0</v>
      </c>
    </row>
    <row r="23" spans="1:7">
      <c r="A23" s="488" t="s">
        <v>20</v>
      </c>
      <c r="B23" s="487">
        <f>123.75*12</f>
        <v>1485</v>
      </c>
      <c r="C23" s="485" t="s">
        <v>19</v>
      </c>
      <c r="D23" s="477" t="s">
        <v>85</v>
      </c>
      <c r="F23" s="259" t="s">
        <v>142</v>
      </c>
      <c r="G23" s="260">
        <v>959.2</v>
      </c>
    </row>
    <row r="24" spans="1:7">
      <c r="A24" s="488" t="s">
        <v>66</v>
      </c>
      <c r="B24" s="487">
        <f>150*12</f>
        <v>1800</v>
      </c>
      <c r="C24" s="485" t="s">
        <v>21</v>
      </c>
      <c r="D24" s="477" t="s">
        <v>85</v>
      </c>
      <c r="F24" s="259" t="s">
        <v>143</v>
      </c>
      <c r="G24" s="277">
        <v>4171.8</v>
      </c>
    </row>
    <row r="25" spans="1:7">
      <c r="A25" s="488" t="s">
        <v>22</v>
      </c>
      <c r="B25" s="487">
        <f>137.5*12*0</f>
        <v>0</v>
      </c>
      <c r="C25" s="485" t="s">
        <v>17</v>
      </c>
      <c r="D25" s="477" t="s">
        <v>85</v>
      </c>
      <c r="F25" s="259" t="s">
        <v>144</v>
      </c>
      <c r="G25" s="278">
        <v>0</v>
      </c>
    </row>
    <row r="26" spans="1:7">
      <c r="A26" s="486" t="s">
        <v>24</v>
      </c>
      <c r="B26" s="487">
        <v>0</v>
      </c>
      <c r="C26" s="489"/>
      <c r="D26" s="490"/>
      <c r="F26" s="259" t="s">
        <v>145</v>
      </c>
      <c r="G26" s="278">
        <v>514.46</v>
      </c>
    </row>
    <row r="27" spans="1:7" ht="18.75">
      <c r="A27" s="491" t="s">
        <v>26</v>
      </c>
      <c r="B27" s="492">
        <f>B18+B19+B26</f>
        <v>584433.61200000008</v>
      </c>
      <c r="C27" s="489"/>
      <c r="D27" s="490"/>
      <c r="F27" s="259" t="s">
        <v>460</v>
      </c>
      <c r="G27" s="278">
        <v>10.76</v>
      </c>
    </row>
    <row r="28" spans="1:7" ht="15.75">
      <c r="A28" s="493" t="s">
        <v>27</v>
      </c>
      <c r="B28" s="100" t="s">
        <v>5</v>
      </c>
      <c r="C28" s="197" t="s">
        <v>28</v>
      </c>
      <c r="D28" s="490"/>
      <c r="F28" s="259" t="s">
        <v>461</v>
      </c>
      <c r="G28" s="278">
        <f>(G23/3+G24)/2920</f>
        <v>1.5381963470319635</v>
      </c>
    </row>
    <row r="29" spans="1:7">
      <c r="A29" s="494" t="s">
        <v>29</v>
      </c>
      <c r="B29" s="487"/>
      <c r="C29" s="495"/>
      <c r="D29" s="490"/>
      <c r="F29" s="259" t="s">
        <v>148</v>
      </c>
      <c r="G29" s="278">
        <v>0</v>
      </c>
    </row>
    <row r="30" spans="1:7" ht="75">
      <c r="A30" s="496" t="s">
        <v>30</v>
      </c>
      <c r="B30" s="340">
        <f>(G28*(3708+200)*1.5*1.15*1.083*1.302*6)+G28*((3708+200)*1.5*1.15*1.083*1.302*6)+(0.104*G23*12)</f>
        <v>176656.27033833516</v>
      </c>
      <c r="C30" s="341" t="s">
        <v>697</v>
      </c>
      <c r="D30" s="288" t="s">
        <v>86</v>
      </c>
      <c r="F30" s="259" t="s">
        <v>149</v>
      </c>
      <c r="G30" s="279">
        <v>0</v>
      </c>
    </row>
    <row r="31" spans="1:7" ht="30">
      <c r="A31" s="287" t="s">
        <v>31</v>
      </c>
      <c r="B31" s="342">
        <f>(G30*9921.13*6)+(G30*10317.11*6)</f>
        <v>0</v>
      </c>
      <c r="C31" s="343" t="s">
        <v>509</v>
      </c>
      <c r="D31" s="258"/>
      <c r="F31" s="247" t="s">
        <v>151</v>
      </c>
      <c r="G31" s="279">
        <v>5</v>
      </c>
    </row>
    <row r="32" spans="1:7" ht="45">
      <c r="A32" s="287" t="s">
        <v>32</v>
      </c>
      <c r="B32" s="498">
        <f>(G29*9921.13*6)+(G29*10317.11*6)+(G17*10.41812*12)*G22</f>
        <v>0</v>
      </c>
      <c r="C32" s="344" t="s">
        <v>672</v>
      </c>
      <c r="D32" s="258"/>
      <c r="F32" s="247" t="s">
        <v>462</v>
      </c>
      <c r="G32" s="279">
        <v>876</v>
      </c>
    </row>
    <row r="33" spans="1:7">
      <c r="A33" s="287" t="s">
        <v>34</v>
      </c>
      <c r="B33" s="345">
        <f>(16.06+16.7)*G17</f>
        <v>2620.7999999999997</v>
      </c>
      <c r="C33" s="346" t="s">
        <v>468</v>
      </c>
      <c r="D33" s="258" t="s">
        <v>88</v>
      </c>
      <c r="F33" s="285" t="s">
        <v>463</v>
      </c>
      <c r="G33" s="286">
        <v>876</v>
      </c>
    </row>
    <row r="34" spans="1:7" ht="30">
      <c r="A34" s="287" t="s">
        <v>35</v>
      </c>
      <c r="B34" s="345">
        <f>(49.72+51.71)*2*0</f>
        <v>0</v>
      </c>
      <c r="C34" s="346" t="s">
        <v>469</v>
      </c>
      <c r="D34" s="258"/>
      <c r="F34" s="289" t="s">
        <v>464</v>
      </c>
      <c r="G34" s="290">
        <v>12439</v>
      </c>
    </row>
    <row r="35" spans="1:7">
      <c r="A35" s="287" t="s">
        <v>36</v>
      </c>
      <c r="B35" s="347">
        <f>0.25*G32*12</f>
        <v>2628</v>
      </c>
      <c r="C35" s="348" t="s">
        <v>698</v>
      </c>
      <c r="D35" s="258" t="s">
        <v>85</v>
      </c>
      <c r="F35" s="247" t="s">
        <v>465</v>
      </c>
      <c r="G35" s="279">
        <v>1</v>
      </c>
    </row>
    <row r="36" spans="1:7">
      <c r="A36" s="291" t="s">
        <v>37</v>
      </c>
      <c r="B36" s="345">
        <f>2.34*G32*4</f>
        <v>8199.3599999999988</v>
      </c>
      <c r="C36" s="251" t="s">
        <v>562</v>
      </c>
      <c r="D36" s="258" t="s">
        <v>89</v>
      </c>
      <c r="F36" s="247" t="s">
        <v>467</v>
      </c>
      <c r="G36" s="279">
        <v>2</v>
      </c>
    </row>
    <row r="37" spans="1:7">
      <c r="A37" s="417" t="s">
        <v>158</v>
      </c>
      <c r="B37" s="413">
        <f>411.36*12</f>
        <v>4936.32</v>
      </c>
      <c r="C37" s="385" t="s">
        <v>710</v>
      </c>
      <c r="D37" s="377"/>
      <c r="F37" s="552"/>
      <c r="G37" s="553"/>
    </row>
    <row r="38" spans="1:7" ht="45">
      <c r="A38" s="417" t="s">
        <v>67</v>
      </c>
      <c r="B38" s="381">
        <f>(635.59*6+661.01*6)*G35</f>
        <v>7779.6</v>
      </c>
      <c r="C38" s="385" t="s">
        <v>496</v>
      </c>
      <c r="D38" s="377" t="s">
        <v>85</v>
      </c>
    </row>
    <row r="39" spans="1:7" ht="30">
      <c r="A39" s="417" t="s">
        <v>190</v>
      </c>
      <c r="B39" s="418">
        <f>(466.1*6+484.74*6)*G19</f>
        <v>0</v>
      </c>
      <c r="C39" s="385" t="s">
        <v>497</v>
      </c>
      <c r="D39" s="377" t="s">
        <v>85</v>
      </c>
    </row>
    <row r="40" spans="1:7" ht="15.75">
      <c r="A40" s="507" t="s">
        <v>47</v>
      </c>
      <c r="B40" s="492">
        <f>SUM(B30:B39)</f>
        <v>202820.35033833515</v>
      </c>
      <c r="C40" s="509"/>
      <c r="D40" s="477"/>
    </row>
    <row r="41" spans="1:7">
      <c r="A41" s="496" t="s">
        <v>48</v>
      </c>
      <c r="B41" s="487"/>
      <c r="C41" s="485"/>
      <c r="D41" s="477"/>
    </row>
    <row r="42" spans="1:7" ht="60">
      <c r="A42" s="421" t="s">
        <v>49</v>
      </c>
      <c r="B42" s="413">
        <f>(G27*100.2134*6)+(G27*104.2268)+(1.71*(B13+B12)*12)</f>
        <v>80476.245471999995</v>
      </c>
      <c r="C42" s="422" t="s">
        <v>699</v>
      </c>
      <c r="D42" s="423"/>
    </row>
    <row r="43" spans="1:7" s="111" customFormat="1" ht="61.5" customHeight="1">
      <c r="A43" s="416" t="s">
        <v>50</v>
      </c>
      <c r="B43" s="407">
        <f>15.92*G20</f>
        <v>17989.599999999999</v>
      </c>
      <c r="C43" s="424" t="s">
        <v>692</v>
      </c>
      <c r="D43" s="425" t="s">
        <v>90</v>
      </c>
    </row>
    <row r="44" spans="1:7" ht="120">
      <c r="A44" s="426" t="s">
        <v>120</v>
      </c>
      <c r="B44" s="427">
        <f>17.51*(B13+B12)</f>
        <v>62193.769000000008</v>
      </c>
      <c r="C44" s="428" t="s">
        <v>700</v>
      </c>
      <c r="D44" s="377"/>
    </row>
    <row r="45" spans="1:7" ht="63">
      <c r="A45" s="456" t="s">
        <v>51</v>
      </c>
      <c r="B45" s="457">
        <f>(654.11+263.56/3)*G34/1000</f>
        <v>9229.2819033333344</v>
      </c>
      <c r="C45" s="458" t="s">
        <v>701</v>
      </c>
      <c r="D45" s="459" t="s">
        <v>91</v>
      </c>
    </row>
    <row r="46" spans="1:7" ht="75">
      <c r="A46" s="430" t="s">
        <v>52</v>
      </c>
      <c r="B46" s="431">
        <f>((G26/12*6*100.2134)+(G26/12*6*104.2268))+((G26/12*6*100.2134)+(G26/12*6*104.2268))/1.302*25%</f>
        <v>62685.724198611366</v>
      </c>
      <c r="C46" s="422" t="s">
        <v>702</v>
      </c>
      <c r="D46" s="377"/>
    </row>
    <row r="47" spans="1:7" ht="15.75">
      <c r="A47" s="515" t="s">
        <v>53</v>
      </c>
      <c r="B47" s="492">
        <f>SUM(B42:B46)</f>
        <v>232574.62057394467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4" s="105" customFormat="1" ht="12.75">
      <c r="A49" s="118" t="s">
        <v>501</v>
      </c>
      <c r="B49" s="201"/>
      <c r="C49" s="516"/>
      <c r="D49" s="477"/>
    </row>
    <row r="50" spans="1:4">
      <c r="A50" s="514" t="s">
        <v>502</v>
      </c>
      <c r="B50" s="487"/>
      <c r="C50" s="517"/>
      <c r="D50" s="477"/>
    </row>
    <row r="51" spans="1:4">
      <c r="A51" s="514" t="s">
        <v>57</v>
      </c>
      <c r="B51" s="487"/>
      <c r="C51" s="517"/>
      <c r="D51" s="477"/>
    </row>
    <row r="52" spans="1:4">
      <c r="A52" s="514" t="s">
        <v>58</v>
      </c>
      <c r="B52" s="487"/>
      <c r="C52" s="517"/>
      <c r="D52" s="477"/>
    </row>
    <row r="53" spans="1:4">
      <c r="A53" s="514" t="s">
        <v>59</v>
      </c>
      <c r="B53" s="487"/>
      <c r="C53" s="517"/>
      <c r="D53" s="477"/>
    </row>
    <row r="54" spans="1:4" ht="15.75">
      <c r="A54" s="515" t="s">
        <v>60</v>
      </c>
      <c r="B54" s="492">
        <f>B49+B50</f>
        <v>0</v>
      </c>
      <c r="C54" s="518"/>
      <c r="D54" s="477"/>
    </row>
    <row r="55" spans="1:4">
      <c r="A55" s="519" t="s">
        <v>61</v>
      </c>
      <c r="B55" s="407">
        <f>3.051*(B12+B13)</f>
        <v>10836.8469</v>
      </c>
      <c r="C55" s="539" t="s">
        <v>703</v>
      </c>
      <c r="D55" s="477"/>
    </row>
    <row r="56" spans="1:4">
      <c r="A56" s="520" t="s">
        <v>62</v>
      </c>
      <c r="B56" s="407">
        <f>1.54*(B13+B12)</f>
        <v>5469.9260000000004</v>
      </c>
      <c r="C56" s="540" t="s">
        <v>704</v>
      </c>
      <c r="D56" s="477"/>
    </row>
    <row r="57" spans="1:4">
      <c r="A57" s="488" t="s">
        <v>63</v>
      </c>
      <c r="B57" s="440">
        <f>(B41+B47)*0.348</f>
        <v>80935.967959732734</v>
      </c>
      <c r="C57" s="381" t="s">
        <v>514</v>
      </c>
      <c r="D57" s="477"/>
    </row>
    <row r="58" spans="1:4" ht="38.25">
      <c r="A58" s="488" t="s">
        <v>121</v>
      </c>
      <c r="B58" s="487">
        <f>(B41+B47+B54+B57)*0.132</f>
        <v>41383.397686445416</v>
      </c>
      <c r="C58" s="517" t="s">
        <v>503</v>
      </c>
      <c r="D58" s="477" t="s">
        <v>85</v>
      </c>
    </row>
    <row r="59" spans="1:4" ht="15.75">
      <c r="A59" s="441" t="s">
        <v>122</v>
      </c>
      <c r="B59" s="492">
        <f>B55+B56+B57+B58</f>
        <v>138626.13854617815</v>
      </c>
      <c r="C59" s="518"/>
      <c r="D59" s="477"/>
    </row>
    <row r="60" spans="1:4">
      <c r="A60" s="488" t="s">
        <v>64</v>
      </c>
      <c r="B60" s="487">
        <f>(B41+B47+B54+B59)*3%</f>
        <v>11136.022773603685</v>
      </c>
      <c r="C60" s="517"/>
      <c r="D60" s="477"/>
    </row>
    <row r="61" spans="1:4" ht="15.75">
      <c r="A61" s="522" t="s">
        <v>26</v>
      </c>
      <c r="B61" s="537">
        <f>B41+B47+B54+B59+B60</f>
        <v>382336.7818937265</v>
      </c>
      <c r="C61" s="524"/>
      <c r="D61" s="477"/>
    </row>
    <row r="62" spans="1:4" ht="15.75">
      <c r="A62" s="522" t="s">
        <v>65</v>
      </c>
      <c r="B62" s="537">
        <f>B61*1.2</f>
        <v>458804.13827247178</v>
      </c>
      <c r="C62" s="524"/>
      <c r="D62" s="477"/>
    </row>
    <row r="63" spans="1:4" ht="15.75">
      <c r="A63" s="525"/>
      <c r="B63" s="492">
        <f>B27-B62</f>
        <v>125629.4737275283</v>
      </c>
      <c r="C63" s="526"/>
      <c r="D63" s="477"/>
    </row>
    <row r="64" spans="1:4" ht="30">
      <c r="A64" s="527" t="s">
        <v>123</v>
      </c>
      <c r="B64" s="528">
        <f>B62/(B12+B13)/12</f>
        <v>10.764289025415311</v>
      </c>
      <c r="C64" s="529" t="s">
        <v>563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8:D8"/>
    <mergeCell ref="A9:D10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3:G74"/>
  <sheetViews>
    <sheetView workbookViewId="0">
      <selection activeCell="A11" sqref="A11:D12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2.7109375" style="162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3" spans="1:4" ht="15.75">
      <c r="C3" s="465" t="s">
        <v>0</v>
      </c>
      <c r="D3" s="194"/>
    </row>
    <row r="4" spans="1:4" ht="15.75">
      <c r="C4" s="465" t="s">
        <v>216</v>
      </c>
      <c r="D4" s="194"/>
    </row>
    <row r="5" spans="1:4" ht="15.75">
      <c r="C5" s="465" t="s">
        <v>189</v>
      </c>
      <c r="D5" s="194"/>
    </row>
    <row r="6" spans="1:4" ht="15.75">
      <c r="C6" s="465"/>
      <c r="D6" s="194"/>
    </row>
    <row r="7" spans="1:4" ht="15.75">
      <c r="C7" s="465" t="s">
        <v>217</v>
      </c>
      <c r="D7" s="194"/>
    </row>
    <row r="8" spans="1:4" ht="15.75">
      <c r="C8" s="70"/>
    </row>
    <row r="9" spans="1:4" ht="15.75">
      <c r="C9" s="70"/>
    </row>
    <row r="10" spans="1:4" ht="32.25" customHeight="1">
      <c r="A10" s="798" t="s">
        <v>478</v>
      </c>
      <c r="B10" s="798"/>
      <c r="C10" s="798"/>
      <c r="D10" s="798"/>
    </row>
    <row r="11" spans="1:4" ht="15" customHeight="1">
      <c r="A11" s="798" t="s">
        <v>564</v>
      </c>
      <c r="B11" s="798"/>
      <c r="C11" s="798"/>
      <c r="D11" s="798"/>
    </row>
    <row r="12" spans="1:4" ht="32.25" customHeight="1">
      <c r="A12" s="798"/>
      <c r="B12" s="798"/>
      <c r="C12" s="798"/>
      <c r="D12" s="798"/>
    </row>
    <row r="13" spans="1:4" ht="15.75">
      <c r="A13" s="73"/>
      <c r="B13" s="73"/>
      <c r="C13" s="73"/>
    </row>
    <row r="14" spans="1:4" ht="15.75">
      <c r="A14" s="74" t="s">
        <v>2</v>
      </c>
      <c r="B14" s="76">
        <f>G18</f>
        <v>3571.1</v>
      </c>
      <c r="C14" s="76" t="s">
        <v>527</v>
      </c>
    </row>
    <row r="15" spans="1:4" s="469" customFormat="1" ht="15.75">
      <c r="A15" s="77" t="s">
        <v>3</v>
      </c>
      <c r="B15" s="195">
        <v>0</v>
      </c>
      <c r="C15" s="79"/>
    </row>
    <row r="16" spans="1:4" s="469" customFormat="1" ht="15.75">
      <c r="A16" s="77"/>
      <c r="B16" s="195"/>
      <c r="C16" s="79"/>
    </row>
    <row r="17" spans="1:7" ht="31.5">
      <c r="A17" s="471" t="s">
        <v>4</v>
      </c>
      <c r="B17" s="472" t="s">
        <v>5</v>
      </c>
      <c r="C17" s="472" t="s">
        <v>661</v>
      </c>
      <c r="D17" s="473" t="s">
        <v>84</v>
      </c>
      <c r="F17" s="253" t="s">
        <v>132</v>
      </c>
      <c r="G17" s="254">
        <v>14.75</v>
      </c>
    </row>
    <row r="18" spans="1:7">
      <c r="A18" s="474" t="s">
        <v>7</v>
      </c>
      <c r="B18" s="475">
        <f>B14*G17*12</f>
        <v>632084.69999999995</v>
      </c>
      <c r="C18" s="476" t="s">
        <v>721</v>
      </c>
      <c r="D18" s="477" t="s">
        <v>85</v>
      </c>
      <c r="F18" s="259" t="s">
        <v>134</v>
      </c>
      <c r="G18" s="260">
        <v>3571.1</v>
      </c>
    </row>
    <row r="19" spans="1:7">
      <c r="A19" s="535" t="s">
        <v>9</v>
      </c>
      <c r="B19" s="487">
        <v>0</v>
      </c>
      <c r="C19" s="503"/>
      <c r="D19" s="477"/>
      <c r="F19" s="259" t="s">
        <v>135</v>
      </c>
      <c r="G19" s="260">
        <v>80</v>
      </c>
    </row>
    <row r="20" spans="1:7" ht="15.75">
      <c r="A20" s="95" t="s">
        <v>12</v>
      </c>
      <c r="B20" s="487">
        <f>B18+B19</f>
        <v>632084.69999999995</v>
      </c>
      <c r="C20" s="485"/>
      <c r="D20" s="477"/>
      <c r="F20" s="259" t="s">
        <v>136</v>
      </c>
      <c r="G20" s="260">
        <v>216</v>
      </c>
    </row>
    <row r="21" spans="1:7">
      <c r="A21" s="486" t="s">
        <v>13</v>
      </c>
      <c r="B21" s="487">
        <f>B22+B23+B24+B25+B26+B27</f>
        <v>6839.76</v>
      </c>
      <c r="C21" s="485"/>
      <c r="D21" s="477"/>
      <c r="F21" s="247" t="s">
        <v>459</v>
      </c>
      <c r="G21" s="248">
        <v>0</v>
      </c>
    </row>
    <row r="22" spans="1:7">
      <c r="A22" s="488" t="s">
        <v>14</v>
      </c>
      <c r="B22" s="487">
        <f>34.98*12</f>
        <v>419.76</v>
      </c>
      <c r="C22" s="485" t="s">
        <v>15</v>
      </c>
      <c r="D22" s="477" t="s">
        <v>85</v>
      </c>
      <c r="F22" s="259" t="s">
        <v>139</v>
      </c>
      <c r="G22" s="260">
        <v>1135</v>
      </c>
    </row>
    <row r="23" spans="1:7">
      <c r="A23" s="488" t="s">
        <v>16</v>
      </c>
      <c r="B23" s="487">
        <f>137.5*12</f>
        <v>1650</v>
      </c>
      <c r="C23" s="485" t="s">
        <v>17</v>
      </c>
      <c r="D23" s="477" t="s">
        <v>85</v>
      </c>
      <c r="F23" s="259" t="s">
        <v>140</v>
      </c>
      <c r="G23" s="260">
        <v>0</v>
      </c>
    </row>
    <row r="24" spans="1:7">
      <c r="A24" s="488" t="s">
        <v>18</v>
      </c>
      <c r="B24" s="487">
        <f>123.75*12</f>
        <v>1485</v>
      </c>
      <c r="C24" s="485" t="s">
        <v>19</v>
      </c>
      <c r="D24" s="477" t="s">
        <v>85</v>
      </c>
      <c r="F24" s="259" t="s">
        <v>141</v>
      </c>
      <c r="G24" s="260">
        <v>0</v>
      </c>
    </row>
    <row r="25" spans="1:7">
      <c r="A25" s="488" t="s">
        <v>20</v>
      </c>
      <c r="B25" s="487">
        <f>123.75*12</f>
        <v>1485</v>
      </c>
      <c r="C25" s="485" t="s">
        <v>19</v>
      </c>
      <c r="D25" s="477" t="s">
        <v>85</v>
      </c>
      <c r="F25" s="259" t="s">
        <v>142</v>
      </c>
      <c r="G25" s="260">
        <v>1548.4</v>
      </c>
    </row>
    <row r="26" spans="1:7">
      <c r="A26" s="488" t="s">
        <v>66</v>
      </c>
      <c r="B26" s="487">
        <f>150*12</f>
        <v>1800</v>
      </c>
      <c r="C26" s="485" t="s">
        <v>21</v>
      </c>
      <c r="D26" s="477" t="s">
        <v>85</v>
      </c>
      <c r="F26" s="259" t="s">
        <v>143</v>
      </c>
      <c r="G26" s="277">
        <v>3360.4</v>
      </c>
    </row>
    <row r="27" spans="1:7">
      <c r="A27" s="488" t="s">
        <v>22</v>
      </c>
      <c r="B27" s="487">
        <f>137.5*12*0</f>
        <v>0</v>
      </c>
      <c r="C27" s="485" t="s">
        <v>17</v>
      </c>
      <c r="D27" s="477" t="s">
        <v>85</v>
      </c>
      <c r="F27" s="259" t="s">
        <v>144</v>
      </c>
      <c r="G27" s="278">
        <v>0</v>
      </c>
    </row>
    <row r="28" spans="1:7">
      <c r="A28" s="486" t="s">
        <v>24</v>
      </c>
      <c r="B28" s="487">
        <v>0</v>
      </c>
      <c r="C28" s="489"/>
      <c r="D28" s="490"/>
      <c r="F28" s="259" t="s">
        <v>145</v>
      </c>
      <c r="G28" s="278">
        <v>516.02</v>
      </c>
    </row>
    <row r="29" spans="1:7" ht="18.75">
      <c r="A29" s="491" t="s">
        <v>26</v>
      </c>
      <c r="B29" s="492">
        <f>B20+B21+B28</f>
        <v>638924.46</v>
      </c>
      <c r="C29" s="489"/>
      <c r="D29" s="490"/>
      <c r="F29" s="259" t="s">
        <v>460</v>
      </c>
      <c r="G29" s="278">
        <v>10.77</v>
      </c>
    </row>
    <row r="30" spans="1:7" ht="15.75">
      <c r="A30" s="493" t="s">
        <v>27</v>
      </c>
      <c r="B30" s="100" t="s">
        <v>5</v>
      </c>
      <c r="C30" s="197" t="s">
        <v>28</v>
      </c>
      <c r="D30" s="490"/>
      <c r="F30" s="259" t="s">
        <v>461</v>
      </c>
      <c r="G30" s="278">
        <f>(G25/3+G26)/2920</f>
        <v>1.3275799086757991</v>
      </c>
    </row>
    <row r="31" spans="1:7">
      <c r="A31" s="494" t="s">
        <v>29</v>
      </c>
      <c r="B31" s="487"/>
      <c r="C31" s="495"/>
      <c r="D31" s="490"/>
      <c r="F31" s="259" t="s">
        <v>148</v>
      </c>
      <c r="G31" s="278">
        <v>0</v>
      </c>
    </row>
    <row r="32" spans="1:7" ht="75">
      <c r="A32" s="496" t="s">
        <v>30</v>
      </c>
      <c r="B32" s="340">
        <f>(G30*(3708+200)*1.5*1.15*1.083*1.302*6)+G30*((3708+200)*1.5*1.15*1.083*1.302*6)+(0.104*G25*12)</f>
        <v>153366.96759162151</v>
      </c>
      <c r="C32" s="341" t="s">
        <v>712</v>
      </c>
      <c r="D32" s="288" t="s">
        <v>86</v>
      </c>
      <c r="F32" s="259" t="s">
        <v>149</v>
      </c>
      <c r="G32" s="279">
        <f>240/790</f>
        <v>0.30379746835443039</v>
      </c>
    </row>
    <row r="33" spans="1:7" ht="30">
      <c r="A33" s="287" t="s">
        <v>31</v>
      </c>
      <c r="B33" s="342">
        <f>(G32*9921.13*6)+(G32*10317.11*6)</f>
        <v>36889.956455696207</v>
      </c>
      <c r="C33" s="343" t="s">
        <v>727</v>
      </c>
      <c r="D33" s="258"/>
      <c r="F33" s="247" t="s">
        <v>151</v>
      </c>
      <c r="G33" s="279">
        <v>5</v>
      </c>
    </row>
    <row r="34" spans="1:7" ht="45">
      <c r="A34" s="287" t="s">
        <v>32</v>
      </c>
      <c r="B34" s="498">
        <f>(G31*9921.13*6)+(G31*10317.11*6)+(G19*10.41812*12)*G24</f>
        <v>0</v>
      </c>
      <c r="C34" s="344" t="s">
        <v>672</v>
      </c>
      <c r="D34" s="258"/>
      <c r="F34" s="247" t="s">
        <v>462</v>
      </c>
      <c r="G34" s="279">
        <v>875.7</v>
      </c>
    </row>
    <row r="35" spans="1:7">
      <c r="A35" s="287" t="s">
        <v>34</v>
      </c>
      <c r="B35" s="345">
        <f>(16.06+16.7)*G19</f>
        <v>2620.7999999999997</v>
      </c>
      <c r="C35" s="346" t="s">
        <v>468</v>
      </c>
      <c r="D35" s="258" t="s">
        <v>88</v>
      </c>
      <c r="F35" s="285" t="s">
        <v>463</v>
      </c>
      <c r="G35" s="286">
        <v>875.7</v>
      </c>
    </row>
    <row r="36" spans="1:7" ht="30">
      <c r="A36" s="287" t="s">
        <v>35</v>
      </c>
      <c r="B36" s="345">
        <f>(49.72+51.71)*2*0</f>
        <v>0</v>
      </c>
      <c r="C36" s="346" t="s">
        <v>469</v>
      </c>
      <c r="D36" s="258"/>
      <c r="F36" s="289" t="s">
        <v>464</v>
      </c>
      <c r="G36" s="290">
        <v>12435</v>
      </c>
    </row>
    <row r="37" spans="1:7">
      <c r="A37" s="287" t="s">
        <v>36</v>
      </c>
      <c r="B37" s="347">
        <f>0.25*G34*12</f>
        <v>2627.1000000000004</v>
      </c>
      <c r="C37" s="348" t="s">
        <v>713</v>
      </c>
      <c r="D37" s="258" t="s">
        <v>85</v>
      </c>
      <c r="F37" s="247" t="s">
        <v>465</v>
      </c>
      <c r="G37" s="279">
        <v>1</v>
      </c>
    </row>
    <row r="38" spans="1:7">
      <c r="A38" s="291" t="s">
        <v>37</v>
      </c>
      <c r="B38" s="345">
        <f>2.34*G34*4</f>
        <v>8196.5519999999997</v>
      </c>
      <c r="C38" s="251" t="s">
        <v>714</v>
      </c>
      <c r="D38" s="258" t="s">
        <v>89</v>
      </c>
      <c r="F38" s="247" t="s">
        <v>467</v>
      </c>
      <c r="G38" s="279">
        <v>2</v>
      </c>
    </row>
    <row r="39" spans="1:7">
      <c r="A39" s="417" t="s">
        <v>158</v>
      </c>
      <c r="B39" s="413">
        <f>336.95*12</f>
        <v>4043.3999999999996</v>
      </c>
      <c r="C39" s="385" t="s">
        <v>711</v>
      </c>
      <c r="D39" s="377"/>
      <c r="F39" s="552"/>
      <c r="G39" s="553"/>
    </row>
    <row r="40" spans="1:7" ht="45">
      <c r="A40" s="417" t="s">
        <v>67</v>
      </c>
      <c r="B40" s="381">
        <f>(635.59*6+661.01*6)*G37</f>
        <v>7779.6</v>
      </c>
      <c r="C40" s="385" t="s">
        <v>496</v>
      </c>
      <c r="D40" s="377" t="s">
        <v>85</v>
      </c>
    </row>
    <row r="41" spans="1:7" ht="30">
      <c r="A41" s="417" t="s">
        <v>190</v>
      </c>
      <c r="B41" s="418">
        <f>(466.1*6+484.74*6)*G21</f>
        <v>0</v>
      </c>
      <c r="C41" s="385" t="s">
        <v>497</v>
      </c>
      <c r="D41" s="377" t="s">
        <v>85</v>
      </c>
    </row>
    <row r="42" spans="1:7" ht="15.75">
      <c r="A42" s="507" t="s">
        <v>47</v>
      </c>
      <c r="B42" s="492">
        <f>SUM(B32:B41)</f>
        <v>215524.3760473177</v>
      </c>
      <c r="C42" s="509"/>
      <c r="D42" s="477"/>
    </row>
    <row r="43" spans="1:7">
      <c r="A43" s="496" t="s">
        <v>48</v>
      </c>
      <c r="B43" s="487"/>
      <c r="C43" s="485"/>
      <c r="D43" s="477"/>
    </row>
    <row r="44" spans="1:7" ht="60">
      <c r="A44" s="421" t="s">
        <v>49</v>
      </c>
      <c r="B44" s="413">
        <f>(G29*100.2134*6)+(G29*104.2268)+(1.71*(B15+B14)*12)</f>
        <v>80877.284544000009</v>
      </c>
      <c r="C44" s="422" t="s">
        <v>715</v>
      </c>
      <c r="D44" s="423"/>
    </row>
    <row r="45" spans="1:7" s="111" customFormat="1" ht="61.5" customHeight="1">
      <c r="A45" s="416" t="s">
        <v>50</v>
      </c>
      <c r="B45" s="407">
        <f>15.92*G22</f>
        <v>18069.2</v>
      </c>
      <c r="C45" s="424" t="s">
        <v>716</v>
      </c>
      <c r="D45" s="425" t="s">
        <v>90</v>
      </c>
    </row>
    <row r="46" spans="1:7" ht="120">
      <c r="A46" s="426" t="s">
        <v>120</v>
      </c>
      <c r="B46" s="427">
        <f>17.51*(B15+B14)</f>
        <v>62529.961000000003</v>
      </c>
      <c r="C46" s="428" t="s">
        <v>717</v>
      </c>
      <c r="D46" s="377"/>
    </row>
    <row r="47" spans="1:7" ht="63">
      <c r="A47" s="456" t="s">
        <v>51</v>
      </c>
      <c r="B47" s="457">
        <f>(654.11+263.56/3)*G36/1000</f>
        <v>9226.3140500000009</v>
      </c>
      <c r="C47" s="458" t="s">
        <v>720</v>
      </c>
      <c r="D47" s="459" t="s">
        <v>91</v>
      </c>
    </row>
    <row r="48" spans="1:7" ht="75">
      <c r="A48" s="430" t="s">
        <v>52</v>
      </c>
      <c r="B48" s="431">
        <f>((G28/12*6*100.2134)+(G28/12*6*104.2268))+((G28/12*6*100.2134)+(G28/12*6*104.2268))/1.302*25%</f>
        <v>62875.806478574494</v>
      </c>
      <c r="C48" s="422" t="s">
        <v>726</v>
      </c>
      <c r="D48" s="377"/>
    </row>
    <row r="49" spans="1:4" ht="15.75">
      <c r="A49" s="515" t="s">
        <v>53</v>
      </c>
      <c r="B49" s="492">
        <f>SUM(B45:B48)</f>
        <v>152701.2815285745</v>
      </c>
      <c r="C49" s="509"/>
      <c r="D49" s="477"/>
    </row>
    <row r="50" spans="1:4">
      <c r="A50" s="514" t="s">
        <v>54</v>
      </c>
      <c r="B50" s="487"/>
      <c r="C50" s="485"/>
      <c r="D50" s="477"/>
    </row>
    <row r="51" spans="1:4" s="105" customFormat="1" ht="12.75">
      <c r="A51" s="118" t="s">
        <v>501</v>
      </c>
      <c r="B51" s="201"/>
      <c r="C51" s="516"/>
      <c r="D51" s="477"/>
    </row>
    <row r="52" spans="1:4">
      <c r="A52" s="514" t="s">
        <v>502</v>
      </c>
      <c r="B52" s="487"/>
      <c r="C52" s="517"/>
      <c r="D52" s="477"/>
    </row>
    <row r="53" spans="1:4">
      <c r="A53" s="514" t="s">
        <v>57</v>
      </c>
      <c r="B53" s="487"/>
      <c r="C53" s="517"/>
      <c r="D53" s="477"/>
    </row>
    <row r="54" spans="1:4">
      <c r="A54" s="514" t="s">
        <v>58</v>
      </c>
      <c r="B54" s="487"/>
      <c r="C54" s="517"/>
      <c r="D54" s="477"/>
    </row>
    <row r="55" spans="1:4">
      <c r="A55" s="514" t="s">
        <v>59</v>
      </c>
      <c r="B55" s="487"/>
      <c r="C55" s="517"/>
      <c r="D55" s="477"/>
    </row>
    <row r="56" spans="1:4" ht="15.75">
      <c r="A56" s="515" t="s">
        <v>60</v>
      </c>
      <c r="B56" s="492">
        <f>B51+B52</f>
        <v>0</v>
      </c>
      <c r="C56" s="518"/>
      <c r="D56" s="477"/>
    </row>
    <row r="57" spans="1:4">
      <c r="A57" s="519" t="s">
        <v>61</v>
      </c>
      <c r="B57" s="407">
        <f>3.051*(B15+B14)</f>
        <v>10895.426100000001</v>
      </c>
      <c r="C57" s="539" t="s">
        <v>718</v>
      </c>
      <c r="D57" s="477"/>
    </row>
    <row r="58" spans="1:4">
      <c r="A58" s="520" t="s">
        <v>62</v>
      </c>
      <c r="B58" s="407">
        <f>1.54*(B14+B15)</f>
        <v>5499.4939999999997</v>
      </c>
      <c r="C58" s="540" t="s">
        <v>719</v>
      </c>
      <c r="D58" s="477"/>
    </row>
    <row r="59" spans="1:4">
      <c r="A59" s="488" t="s">
        <v>63</v>
      </c>
      <c r="B59" s="440">
        <f>(B42+B49)*0.348</f>
        <v>128142.52883641046</v>
      </c>
      <c r="C59" s="381" t="s">
        <v>514</v>
      </c>
      <c r="D59" s="477"/>
    </row>
    <row r="60" spans="1:4" ht="38.25">
      <c r="A60" s="488" t="s">
        <v>121</v>
      </c>
      <c r="B60" s="487">
        <f>(B42+B49+B56+B59)*0.132</f>
        <v>65520.600606423955</v>
      </c>
      <c r="C60" s="517" t="s">
        <v>503</v>
      </c>
      <c r="D60" s="477" t="s">
        <v>85</v>
      </c>
    </row>
    <row r="61" spans="1:4" ht="15.75">
      <c r="A61" s="441" t="s">
        <v>122</v>
      </c>
      <c r="B61" s="492">
        <f>B57+B58+B59+B60</f>
        <v>210058.0495428344</v>
      </c>
      <c r="C61" s="518"/>
      <c r="D61" s="477"/>
    </row>
    <row r="62" spans="1:4">
      <c r="A62" s="488" t="s">
        <v>64</v>
      </c>
      <c r="B62" s="487">
        <f>(B42+B49+B56+B61)*3%</f>
        <v>17348.511213561796</v>
      </c>
      <c r="C62" s="517"/>
      <c r="D62" s="477"/>
    </row>
    <row r="63" spans="1:4" ht="15.75">
      <c r="A63" s="522" t="s">
        <v>26</v>
      </c>
      <c r="B63" s="537">
        <f>B42+B49+B56+B61+B62</f>
        <v>595632.21833228832</v>
      </c>
      <c r="C63" s="524"/>
      <c r="D63" s="477"/>
    </row>
    <row r="64" spans="1:4" ht="15.75">
      <c r="A64" s="522" t="s">
        <v>65</v>
      </c>
      <c r="B64" s="537">
        <f>B63*1.2</f>
        <v>714758.66199874599</v>
      </c>
      <c r="C64" s="524"/>
      <c r="D64" s="477"/>
    </row>
    <row r="65" spans="1:4" ht="15.75">
      <c r="A65" s="525"/>
      <c r="B65" s="492">
        <f>B29-B64</f>
        <v>-75834.201998746023</v>
      </c>
      <c r="C65" s="526"/>
      <c r="D65" s="477"/>
    </row>
    <row r="66" spans="1:4" ht="30">
      <c r="A66" s="527" t="s">
        <v>123</v>
      </c>
      <c r="B66" s="528">
        <f>B64/(B14+B15)/12</f>
        <v>16.679236603071555</v>
      </c>
      <c r="C66" s="529" t="s">
        <v>565</v>
      </c>
      <c r="D66" s="530"/>
    </row>
    <row r="67" spans="1:4">
      <c r="A67" s="531"/>
      <c r="B67" s="532"/>
      <c r="C67" s="533"/>
      <c r="D67" s="534"/>
    </row>
    <row r="68" spans="1:4" ht="15" customHeight="1">
      <c r="A68" s="799" t="s">
        <v>124</v>
      </c>
      <c r="B68" s="799"/>
      <c r="C68" s="799"/>
      <c r="D68" s="205"/>
    </row>
    <row r="69" spans="1:4" ht="30" customHeight="1">
      <c r="A69" s="800" t="s">
        <v>518</v>
      </c>
      <c r="B69" s="800"/>
      <c r="C69" s="800"/>
      <c r="D69" s="205"/>
    </row>
    <row r="70" spans="1:4" ht="27.75" customHeight="1">
      <c r="A70" s="800" t="s">
        <v>519</v>
      </c>
      <c r="B70" s="800"/>
      <c r="C70" s="800"/>
      <c r="D70" s="205"/>
    </row>
    <row r="71" spans="1:4" ht="25.5" customHeight="1">
      <c r="A71" s="160"/>
      <c r="B71" s="453"/>
      <c r="D71" s="205"/>
    </row>
    <row r="72" spans="1:4">
      <c r="A72" s="797" t="s">
        <v>505</v>
      </c>
      <c r="B72" s="797"/>
      <c r="C72" s="797"/>
      <c r="D72" s="205"/>
    </row>
    <row r="73" spans="1:4">
      <c r="A73" s="160"/>
      <c r="B73" s="161"/>
      <c r="C73" s="162"/>
      <c r="D73" s="205"/>
    </row>
    <row r="74" spans="1:4" ht="18.75">
      <c r="A74" s="170"/>
      <c r="B74" s="170"/>
      <c r="C74" s="170"/>
    </row>
  </sheetData>
  <mergeCells count="6">
    <mergeCell ref="A72:C72"/>
    <mergeCell ref="A10:D10"/>
    <mergeCell ref="A11:D12"/>
    <mergeCell ref="A68:C68"/>
    <mergeCell ref="A69:C69"/>
    <mergeCell ref="A70:C70"/>
  </mergeCells>
  <pageMargins left="0.51181102362204722" right="0.11811023622047245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topLeftCell="A22" workbookViewId="0">
      <selection activeCell="E22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2.7109375" style="162" hidden="1" customWidth="1"/>
    <col min="6" max="6" width="26.7109375" style="162" hidden="1" customWidth="1"/>
    <col min="7" max="7" width="9.285156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15.75">
      <c r="C6" s="70"/>
    </row>
    <row r="7" spans="1:7" ht="15.75">
      <c r="C7" s="70"/>
    </row>
    <row r="8" spans="1:7" ht="15.75">
      <c r="A8" s="798" t="s">
        <v>478</v>
      </c>
      <c r="B8" s="798"/>
      <c r="C8" s="798"/>
      <c r="D8" s="798"/>
    </row>
    <row r="9" spans="1:7">
      <c r="A9" s="798" t="s">
        <v>566</v>
      </c>
      <c r="B9" s="798"/>
      <c r="C9" s="798"/>
      <c r="D9" s="798"/>
    </row>
    <row r="10" spans="1:7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6">
        <f>G16</f>
        <v>3563.4</v>
      </c>
      <c r="C12" s="76" t="s">
        <v>527</v>
      </c>
    </row>
    <row r="13" spans="1:7" s="469" customFormat="1" ht="15.75">
      <c r="A13" s="77" t="s">
        <v>3</v>
      </c>
      <c r="B13" s="195">
        <v>0</v>
      </c>
      <c r="C13" s="79"/>
    </row>
    <row r="14" spans="1:7" s="469" customFormat="1" ht="15.75">
      <c r="A14" s="77"/>
      <c r="B14" s="195"/>
      <c r="C14" s="79"/>
    </row>
    <row r="15" spans="1:7" ht="31.5">
      <c r="A15" s="471" t="s">
        <v>4</v>
      </c>
      <c r="B15" s="472" t="s">
        <v>5</v>
      </c>
      <c r="C15" s="472" t="s">
        <v>661</v>
      </c>
      <c r="D15" s="473" t="s">
        <v>84</v>
      </c>
      <c r="F15" s="253" t="s">
        <v>132</v>
      </c>
      <c r="G15" s="254">
        <v>13.11</v>
      </c>
    </row>
    <row r="16" spans="1:7">
      <c r="A16" s="474" t="s">
        <v>7</v>
      </c>
      <c r="B16" s="475">
        <f>B12*G15*12</f>
        <v>560594.08799999999</v>
      </c>
      <c r="C16" s="476" t="s">
        <v>737</v>
      </c>
      <c r="D16" s="477" t="s">
        <v>85</v>
      </c>
      <c r="F16" s="259" t="s">
        <v>134</v>
      </c>
      <c r="G16" s="260">
        <v>3563.4</v>
      </c>
    </row>
    <row r="17" spans="1:7">
      <c r="A17" s="535" t="s">
        <v>9</v>
      </c>
      <c r="B17" s="487">
        <v>0</v>
      </c>
      <c r="C17" s="503"/>
      <c r="D17" s="477"/>
      <c r="F17" s="259" t="s">
        <v>135</v>
      </c>
      <c r="G17" s="260">
        <v>80</v>
      </c>
    </row>
    <row r="18" spans="1:7" ht="15.75">
      <c r="A18" s="95" t="s">
        <v>12</v>
      </c>
      <c r="B18" s="551">
        <f>B16+B17</f>
        <v>560594.08799999999</v>
      </c>
      <c r="C18" s="485"/>
      <c r="D18" s="477"/>
      <c r="F18" s="259" t="s">
        <v>136</v>
      </c>
      <c r="G18" s="260">
        <v>233</v>
      </c>
    </row>
    <row r="19" spans="1:7">
      <c r="A19" s="486" t="s">
        <v>13</v>
      </c>
      <c r="B19" s="487">
        <f>B20+B21+B22+B23+B24+B25</f>
        <v>5189.76</v>
      </c>
      <c r="C19" s="485"/>
      <c r="D19" s="477"/>
      <c r="F19" s="247" t="s">
        <v>459</v>
      </c>
      <c r="G19" s="248">
        <v>0</v>
      </c>
    </row>
    <row r="20" spans="1:7">
      <c r="A20" s="488" t="s">
        <v>14</v>
      </c>
      <c r="B20" s="487">
        <f>34.98*12</f>
        <v>419.76</v>
      </c>
      <c r="C20" s="485" t="s">
        <v>15</v>
      </c>
      <c r="D20" s="477" t="s">
        <v>85</v>
      </c>
      <c r="F20" s="259" t="s">
        <v>139</v>
      </c>
      <c r="G20" s="260">
        <v>1139</v>
      </c>
    </row>
    <row r="21" spans="1:7">
      <c r="A21" s="488" t="s">
        <v>16</v>
      </c>
      <c r="B21" s="487">
        <f>137.5*12*0</f>
        <v>0</v>
      </c>
      <c r="C21" s="485" t="s">
        <v>17</v>
      </c>
      <c r="D21" s="477" t="s">
        <v>85</v>
      </c>
      <c r="F21" s="259" t="s">
        <v>140</v>
      </c>
      <c r="G21" s="260">
        <v>0</v>
      </c>
    </row>
    <row r="22" spans="1:7">
      <c r="A22" s="488" t="s">
        <v>18</v>
      </c>
      <c r="B22" s="487">
        <f>123.75*12</f>
        <v>1485</v>
      </c>
      <c r="C22" s="485" t="s">
        <v>19</v>
      </c>
      <c r="D22" s="477" t="s">
        <v>85</v>
      </c>
      <c r="F22" s="259" t="s">
        <v>141</v>
      </c>
      <c r="G22" s="260">
        <v>0</v>
      </c>
    </row>
    <row r="23" spans="1:7">
      <c r="A23" s="488" t="s">
        <v>20</v>
      </c>
      <c r="B23" s="487">
        <f>123.75*12</f>
        <v>1485</v>
      </c>
      <c r="C23" s="485" t="s">
        <v>19</v>
      </c>
      <c r="D23" s="477" t="s">
        <v>85</v>
      </c>
      <c r="F23" s="259" t="s">
        <v>142</v>
      </c>
      <c r="G23" s="260">
        <v>2192.5</v>
      </c>
    </row>
    <row r="24" spans="1:7">
      <c r="A24" s="488" t="s">
        <v>66</v>
      </c>
      <c r="B24" s="487">
        <f>150*12</f>
        <v>1800</v>
      </c>
      <c r="C24" s="485" t="s">
        <v>21</v>
      </c>
      <c r="D24" s="477" t="s">
        <v>85</v>
      </c>
      <c r="F24" s="259" t="s">
        <v>143</v>
      </c>
      <c r="G24" s="277">
        <v>2319.5</v>
      </c>
    </row>
    <row r="25" spans="1:7">
      <c r="A25" s="488" t="s">
        <v>22</v>
      </c>
      <c r="B25" s="487">
        <f>137.5*12*0</f>
        <v>0</v>
      </c>
      <c r="C25" s="485" t="s">
        <v>17</v>
      </c>
      <c r="D25" s="477" t="s">
        <v>85</v>
      </c>
      <c r="F25" s="259" t="s">
        <v>144</v>
      </c>
      <c r="G25" s="278">
        <v>0</v>
      </c>
    </row>
    <row r="26" spans="1:7">
      <c r="A26" s="486" t="s">
        <v>24</v>
      </c>
      <c r="B26" s="487">
        <v>0</v>
      </c>
      <c r="C26" s="489"/>
      <c r="D26" s="490"/>
      <c r="F26" s="259" t="s">
        <v>145</v>
      </c>
      <c r="G26" s="278">
        <v>515.78</v>
      </c>
    </row>
    <row r="27" spans="1:7" ht="18.75">
      <c r="A27" s="491" t="s">
        <v>26</v>
      </c>
      <c r="B27" s="492">
        <f>B18+B19+B26</f>
        <v>565783.848</v>
      </c>
      <c r="C27" s="489"/>
      <c r="D27" s="490"/>
      <c r="F27" s="259" t="s">
        <v>460</v>
      </c>
      <c r="G27" s="278">
        <v>10.77</v>
      </c>
    </row>
    <row r="28" spans="1:7" ht="15.75">
      <c r="A28" s="493" t="s">
        <v>27</v>
      </c>
      <c r="B28" s="100" t="s">
        <v>5</v>
      </c>
      <c r="C28" s="197" t="s">
        <v>28</v>
      </c>
      <c r="D28" s="490"/>
      <c r="F28" s="259" t="s">
        <v>461</v>
      </c>
      <c r="G28" s="278">
        <f>(G23/3+G24)/2920</f>
        <v>1.044634703196347</v>
      </c>
    </row>
    <row r="29" spans="1:7">
      <c r="A29" s="494" t="s">
        <v>29</v>
      </c>
      <c r="B29" s="487"/>
      <c r="C29" s="495"/>
      <c r="D29" s="490"/>
      <c r="F29" s="259" t="s">
        <v>148</v>
      </c>
      <c r="G29" s="278">
        <v>0</v>
      </c>
    </row>
    <row r="30" spans="1:7" ht="75">
      <c r="A30" s="496" t="s">
        <v>30</v>
      </c>
      <c r="B30" s="340">
        <f>(G28*(3708+200)*1.5*1.15*1.083*1.302*6)+G28*((3708+200)*1.5*1.15*1.083*1.302*6)+(0.104*G23*12)</f>
        <v>121895.77246437779</v>
      </c>
      <c r="C30" s="341" t="s">
        <v>712</v>
      </c>
      <c r="D30" s="288" t="s">
        <v>86</v>
      </c>
      <c r="F30" s="259" t="s">
        <v>149</v>
      </c>
      <c r="G30" s="279">
        <v>0</v>
      </c>
    </row>
    <row r="31" spans="1:7" ht="30">
      <c r="A31" s="287" t="s">
        <v>31</v>
      </c>
      <c r="B31" s="342">
        <f>(G30*9921.13*6)+(G30*10317.11*6)</f>
        <v>0</v>
      </c>
      <c r="C31" s="343" t="s">
        <v>509</v>
      </c>
      <c r="D31" s="258"/>
      <c r="F31" s="247" t="s">
        <v>151</v>
      </c>
      <c r="G31" s="279">
        <v>5</v>
      </c>
    </row>
    <row r="32" spans="1:7" ht="45">
      <c r="A32" s="287" t="s">
        <v>32</v>
      </c>
      <c r="B32" s="498">
        <f>(G29*9921.13*6)+(G29*10317.11*6)+(G17*10.41812*12)*G22</f>
        <v>0</v>
      </c>
      <c r="C32" s="344" t="s">
        <v>672</v>
      </c>
      <c r="D32" s="258"/>
      <c r="F32" s="247" t="s">
        <v>462</v>
      </c>
      <c r="G32" s="279">
        <v>875.7</v>
      </c>
    </row>
    <row r="33" spans="1:7">
      <c r="A33" s="287" t="s">
        <v>34</v>
      </c>
      <c r="B33" s="345">
        <f>(16.06+16.7)*G17</f>
        <v>2620.7999999999997</v>
      </c>
      <c r="C33" s="346" t="s">
        <v>468</v>
      </c>
      <c r="D33" s="258" t="s">
        <v>88</v>
      </c>
      <c r="F33" s="285" t="s">
        <v>463</v>
      </c>
      <c r="G33" s="286">
        <v>875.7</v>
      </c>
    </row>
    <row r="34" spans="1:7" ht="30">
      <c r="A34" s="287" t="s">
        <v>35</v>
      </c>
      <c r="B34" s="345">
        <f>(49.72+51.71)*2*0</f>
        <v>0</v>
      </c>
      <c r="C34" s="346" t="s">
        <v>469</v>
      </c>
      <c r="D34" s="258"/>
      <c r="F34" s="289" t="s">
        <v>464</v>
      </c>
      <c r="G34" s="290">
        <v>14103</v>
      </c>
    </row>
    <row r="35" spans="1:7">
      <c r="A35" s="287" t="s">
        <v>36</v>
      </c>
      <c r="B35" s="347">
        <f>0.25*G32*12</f>
        <v>2627.1000000000004</v>
      </c>
      <c r="C35" s="348" t="s">
        <v>713</v>
      </c>
      <c r="D35" s="258" t="s">
        <v>85</v>
      </c>
      <c r="F35" s="247" t="s">
        <v>465</v>
      </c>
      <c r="G35" s="279">
        <v>1</v>
      </c>
    </row>
    <row r="36" spans="1:7">
      <c r="A36" s="291" t="s">
        <v>37</v>
      </c>
      <c r="B36" s="345">
        <f>2.34*G32*4</f>
        <v>8196.5519999999997</v>
      </c>
      <c r="C36" s="251" t="s">
        <v>714</v>
      </c>
      <c r="D36" s="258" t="s">
        <v>89</v>
      </c>
      <c r="F36" s="247" t="s">
        <v>467</v>
      </c>
      <c r="G36" s="279">
        <v>2</v>
      </c>
    </row>
    <row r="37" spans="1:7">
      <c r="A37" s="417" t="s">
        <v>158</v>
      </c>
      <c r="B37" s="413">
        <f>316.93*12</f>
        <v>3803.16</v>
      </c>
      <c r="C37" s="385" t="s">
        <v>735</v>
      </c>
      <c r="D37" s="377"/>
    </row>
    <row r="38" spans="1:7" ht="45">
      <c r="A38" s="417" t="s">
        <v>67</v>
      </c>
      <c r="B38" s="381">
        <f>(635.59*6+661.01*6)*G35</f>
        <v>7779.6</v>
      </c>
      <c r="C38" s="385" t="s">
        <v>496</v>
      </c>
      <c r="D38" s="377" t="s">
        <v>85</v>
      </c>
    </row>
    <row r="39" spans="1:7" ht="30">
      <c r="A39" s="417" t="s">
        <v>190</v>
      </c>
      <c r="B39" s="418">
        <f>(466.1*6+484.74*6)*G19</f>
        <v>0</v>
      </c>
      <c r="C39" s="385" t="s">
        <v>497</v>
      </c>
      <c r="D39" s="377" t="s">
        <v>85</v>
      </c>
      <c r="G39" s="536">
        <f>401.82/1.18</f>
        <v>340.52542372881356</v>
      </c>
    </row>
    <row r="40" spans="1:7" ht="15.75">
      <c r="A40" s="507" t="s">
        <v>47</v>
      </c>
      <c r="B40" s="492">
        <f>SUM(B30:B39)</f>
        <v>146922.98446437781</v>
      </c>
      <c r="C40" s="509"/>
      <c r="D40" s="477"/>
    </row>
    <row r="41" spans="1:7">
      <c r="A41" s="496" t="s">
        <v>48</v>
      </c>
      <c r="B41" s="487"/>
      <c r="C41" s="485"/>
      <c r="D41" s="477"/>
    </row>
    <row r="42" spans="1:7" s="111" customFormat="1" ht="60">
      <c r="A42" s="421" t="s">
        <v>49</v>
      </c>
      <c r="B42" s="413">
        <f>(G27*100.2134*6)+(G27*104.2268)+(1.71*(B13+B12)*12)</f>
        <v>80719.280543999994</v>
      </c>
      <c r="C42" s="422" t="s">
        <v>730</v>
      </c>
      <c r="D42" s="423"/>
    </row>
    <row r="43" spans="1:7">
      <c r="A43" s="416" t="s">
        <v>50</v>
      </c>
      <c r="B43" s="407">
        <f>15.92*G20</f>
        <v>18132.88</v>
      </c>
      <c r="C43" s="424" t="s">
        <v>728</v>
      </c>
      <c r="D43" s="425" t="s">
        <v>90</v>
      </c>
    </row>
    <row r="44" spans="1:7" ht="120">
      <c r="A44" s="426" t="s">
        <v>120</v>
      </c>
      <c r="B44" s="427">
        <f>17.51*(B13+B12)</f>
        <v>62395.134000000005</v>
      </c>
      <c r="C44" s="428" t="s">
        <v>729</v>
      </c>
      <c r="D44" s="377"/>
    </row>
    <row r="45" spans="1:7" ht="63">
      <c r="A45" s="456" t="s">
        <v>51</v>
      </c>
      <c r="B45" s="457">
        <f>(654.11+263.56/3)*G34/1000</f>
        <v>10463.908890000001</v>
      </c>
      <c r="C45" s="458" t="s">
        <v>731</v>
      </c>
      <c r="D45" s="459" t="s">
        <v>91</v>
      </c>
    </row>
    <row r="46" spans="1:7" ht="75">
      <c r="A46" s="430" t="s">
        <v>52</v>
      </c>
      <c r="B46" s="431">
        <f>((G26/12*6*100.2134)+(G26/12*6*104.2268))+((G26/12*6*100.2134)+(G26/12*6*104.2268))/1.302*25%</f>
        <v>62846.563050887868</v>
      </c>
      <c r="C46" s="422" t="s">
        <v>732</v>
      </c>
      <c r="D46" s="377"/>
    </row>
    <row r="47" spans="1:7" ht="15.75">
      <c r="A47" s="515" t="s">
        <v>53</v>
      </c>
      <c r="B47" s="492">
        <f>SUM(B42:B46)</f>
        <v>234557.76648488786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4" s="105" customFormat="1" ht="12.75">
      <c r="A49" s="118" t="s">
        <v>501</v>
      </c>
      <c r="B49" s="201"/>
      <c r="C49" s="516"/>
      <c r="D49" s="477"/>
    </row>
    <row r="50" spans="1:4">
      <c r="A50" s="514" t="s">
        <v>502</v>
      </c>
      <c r="B50" s="487"/>
      <c r="C50" s="517"/>
      <c r="D50" s="477"/>
    </row>
    <row r="51" spans="1:4">
      <c r="A51" s="514" t="s">
        <v>57</v>
      </c>
      <c r="B51" s="487"/>
      <c r="C51" s="517"/>
      <c r="D51" s="477"/>
    </row>
    <row r="52" spans="1:4">
      <c r="A52" s="514" t="s">
        <v>58</v>
      </c>
      <c r="B52" s="487"/>
      <c r="C52" s="517"/>
      <c r="D52" s="477"/>
    </row>
    <row r="53" spans="1:4">
      <c r="A53" s="514" t="s">
        <v>59</v>
      </c>
      <c r="B53" s="487"/>
      <c r="C53" s="517"/>
      <c r="D53" s="477"/>
    </row>
    <row r="54" spans="1:4" ht="15.75">
      <c r="A54" s="515" t="s">
        <v>60</v>
      </c>
      <c r="B54" s="492">
        <f>B49+B50</f>
        <v>0</v>
      </c>
      <c r="C54" s="518"/>
      <c r="D54" s="477"/>
    </row>
    <row r="55" spans="1:4">
      <c r="A55" s="519" t="s">
        <v>61</v>
      </c>
      <c r="B55" s="407">
        <f>3.051*(B12+B13)</f>
        <v>10871.933400000002</v>
      </c>
      <c r="C55" s="539" t="s">
        <v>733</v>
      </c>
      <c r="D55" s="477"/>
    </row>
    <row r="56" spans="1:4">
      <c r="A56" s="520" t="s">
        <v>62</v>
      </c>
      <c r="B56" s="407">
        <f>1.54*(B12+B13)</f>
        <v>5487.6360000000004</v>
      </c>
      <c r="C56" s="540" t="s">
        <v>734</v>
      </c>
      <c r="D56" s="477"/>
    </row>
    <row r="57" spans="1:4">
      <c r="A57" s="488" t="s">
        <v>63</v>
      </c>
      <c r="B57" s="440">
        <f>(B40+B47)*0.348</f>
        <v>132755.30133034443</v>
      </c>
      <c r="C57" s="381" t="s">
        <v>514</v>
      </c>
      <c r="D57" s="477"/>
    </row>
    <row r="58" spans="1:4" ht="38.25">
      <c r="A58" s="488" t="s">
        <v>121</v>
      </c>
      <c r="B58" s="487">
        <f>(B40+B47+B54+B57)*0.132</f>
        <v>67879.158900908529</v>
      </c>
      <c r="C58" s="517" t="s">
        <v>503</v>
      </c>
      <c r="D58" s="477" t="s">
        <v>85</v>
      </c>
    </row>
    <row r="59" spans="1:4" ht="15.75">
      <c r="A59" s="441" t="s">
        <v>122</v>
      </c>
      <c r="B59" s="492">
        <f>B55+B56+B57+B58</f>
        <v>216994.02963125298</v>
      </c>
      <c r="C59" s="518"/>
      <c r="D59" s="477"/>
    </row>
    <row r="60" spans="1:4">
      <c r="A60" s="488" t="s">
        <v>64</v>
      </c>
      <c r="B60" s="487">
        <f>(B40+B47+B54+B59)*3%</f>
        <v>17954.243417415561</v>
      </c>
      <c r="C60" s="517"/>
      <c r="D60" s="477"/>
    </row>
    <row r="61" spans="1:4" ht="15.75">
      <c r="A61" s="522" t="s">
        <v>26</v>
      </c>
      <c r="B61" s="537">
        <f>B40+B47+B54+B59+B60</f>
        <v>616429.02399793419</v>
      </c>
      <c r="C61" s="524"/>
      <c r="D61" s="477"/>
    </row>
    <row r="62" spans="1:4" ht="15.75">
      <c r="A62" s="522" t="s">
        <v>65</v>
      </c>
      <c r="B62" s="537">
        <f>B61*1.2</f>
        <v>739714.82879752095</v>
      </c>
      <c r="C62" s="524"/>
      <c r="D62" s="477"/>
    </row>
    <row r="63" spans="1:4" ht="15.75">
      <c r="A63" s="525"/>
      <c r="B63" s="492">
        <f>B27-B62</f>
        <v>-173930.98079752096</v>
      </c>
      <c r="C63" s="526"/>
      <c r="D63" s="477"/>
    </row>
    <row r="64" spans="1:4" ht="30">
      <c r="A64" s="527" t="s">
        <v>123</v>
      </c>
      <c r="B64" s="528">
        <f>B62/(B12+B13)/12</f>
        <v>17.298900600492061</v>
      </c>
      <c r="C64" s="529" t="s">
        <v>567</v>
      </c>
      <c r="D64" s="530"/>
    </row>
    <row r="65" spans="1:4">
      <c r="A65" s="531"/>
      <c r="B65" s="532"/>
      <c r="C65" s="533"/>
      <c r="D65" s="534"/>
    </row>
    <row r="66" spans="1:4">
      <c r="A66" s="799" t="s">
        <v>124</v>
      </c>
      <c r="B66" s="799"/>
      <c r="C66" s="799"/>
      <c r="D66" s="205"/>
    </row>
    <row r="67" spans="1:4" ht="29.25" customHeight="1">
      <c r="A67" s="800" t="s">
        <v>518</v>
      </c>
      <c r="B67" s="800"/>
      <c r="C67" s="800"/>
      <c r="D67" s="205"/>
    </row>
    <row r="68" spans="1:4" ht="29.25" customHeight="1">
      <c r="A68" s="800" t="s">
        <v>519</v>
      </c>
      <c r="B68" s="800"/>
      <c r="C68" s="800"/>
      <c r="D68" s="205"/>
    </row>
    <row r="69" spans="1:4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8:D8"/>
    <mergeCell ref="A9:D10"/>
    <mergeCell ref="A66:C66"/>
    <mergeCell ref="A67:C67"/>
    <mergeCell ref="A68:C68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0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G71"/>
  <sheetViews>
    <sheetView workbookViewId="0">
      <selection activeCell="E39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2.7109375" style="466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568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4915.8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13.82</v>
      </c>
    </row>
    <row r="15" spans="1:7">
      <c r="A15" s="474" t="s">
        <v>7</v>
      </c>
      <c r="B15" s="475">
        <f>B11*G14*12</f>
        <v>815236.272</v>
      </c>
      <c r="C15" s="481" t="s">
        <v>736</v>
      </c>
      <c r="D15" s="477" t="s">
        <v>85</v>
      </c>
      <c r="F15" s="259" t="s">
        <v>134</v>
      </c>
      <c r="G15" s="260">
        <v>4915.8</v>
      </c>
    </row>
    <row r="16" spans="1:7">
      <c r="A16" s="474" t="s">
        <v>9</v>
      </c>
      <c r="B16" s="478">
        <f>B12</f>
        <v>0</v>
      </c>
      <c r="C16" s="481"/>
      <c r="D16" s="477"/>
      <c r="F16" s="259" t="s">
        <v>135</v>
      </c>
      <c r="G16" s="260">
        <v>144</v>
      </c>
    </row>
    <row r="17" spans="1:7" ht="15.75">
      <c r="A17" s="543" t="s">
        <v>12</v>
      </c>
      <c r="B17" s="478">
        <f>B15+B16</f>
        <v>815236.272</v>
      </c>
      <c r="C17" s="545"/>
      <c r="D17" s="477"/>
      <c r="E17" s="162"/>
      <c r="F17" s="259" t="s">
        <v>136</v>
      </c>
      <c r="G17" s="260">
        <v>325</v>
      </c>
    </row>
    <row r="18" spans="1:7">
      <c r="A18" s="546" t="s">
        <v>13</v>
      </c>
      <c r="B18" s="478">
        <f>B19+B20+B21+B22+B23+B24</f>
        <v>5189.76</v>
      </c>
      <c r="C18" s="545"/>
      <c r="D18" s="477"/>
      <c r="F18" s="247" t="s">
        <v>459</v>
      </c>
      <c r="G18" s="248">
        <v>0</v>
      </c>
    </row>
    <row r="19" spans="1:7">
      <c r="A19" s="541" t="s">
        <v>14</v>
      </c>
      <c r="B19" s="172">
        <f>34.98*12</f>
        <v>419.76</v>
      </c>
      <c r="C19" s="542" t="s">
        <v>15</v>
      </c>
      <c r="D19" s="477" t="s">
        <v>85</v>
      </c>
      <c r="F19" s="259" t="s">
        <v>139</v>
      </c>
      <c r="G19" s="260">
        <v>954.7</v>
      </c>
    </row>
    <row r="20" spans="1:7">
      <c r="A20" s="488" t="s">
        <v>16</v>
      </c>
      <c r="B20" s="487">
        <f>137.5*12*0</f>
        <v>0</v>
      </c>
      <c r="C20" s="485" t="s">
        <v>17</v>
      </c>
      <c r="D20" s="477" t="s">
        <v>85</v>
      </c>
      <c r="F20" s="259" t="s">
        <v>140</v>
      </c>
      <c r="G20" s="260">
        <v>1</v>
      </c>
    </row>
    <row r="21" spans="1:7">
      <c r="A21" s="488" t="s">
        <v>18</v>
      </c>
      <c r="B21" s="487">
        <f>123.75*12</f>
        <v>1485</v>
      </c>
      <c r="C21" s="485" t="s">
        <v>19</v>
      </c>
      <c r="D21" s="477" t="s">
        <v>85</v>
      </c>
      <c r="F21" s="259" t="s">
        <v>141</v>
      </c>
      <c r="G21" s="260">
        <v>1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1926.5</v>
      </c>
    </row>
    <row r="23" spans="1:7">
      <c r="A23" s="488" t="s">
        <v>66</v>
      </c>
      <c r="B23" s="487">
        <f>150*12</f>
        <v>1800</v>
      </c>
      <c r="C23" s="485" t="s">
        <v>21</v>
      </c>
      <c r="D23" s="477" t="s">
        <v>85</v>
      </c>
      <c r="F23" s="259" t="s">
        <v>143</v>
      </c>
      <c r="G23" s="277">
        <v>1911.4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632.04</v>
      </c>
    </row>
    <row r="26" spans="1:7" ht="18.75">
      <c r="A26" s="491" t="s">
        <v>26</v>
      </c>
      <c r="B26" s="492">
        <f>B17+B18+B25</f>
        <v>820426.03200000001</v>
      </c>
      <c r="C26" s="489"/>
      <c r="D26" s="490"/>
      <c r="F26" s="259" t="s">
        <v>460</v>
      </c>
      <c r="G26" s="278">
        <v>30.43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0.87450913242009132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G16/144</f>
        <v>1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102157.89787147404</v>
      </c>
      <c r="C29" s="341" t="s">
        <v>738</v>
      </c>
      <c r="D29" s="288" t="s">
        <v>86</v>
      </c>
      <c r="F29" s="259" t="s">
        <v>149</v>
      </c>
      <c r="G29" s="279">
        <f>1246.6/820</f>
        <v>1.5202439024390242</v>
      </c>
    </row>
    <row r="30" spans="1:7" ht="30">
      <c r="A30" s="287" t="s">
        <v>31</v>
      </c>
      <c r="B30" s="342">
        <f>(G29*9921.13*6)+(G29*10317.11*6)</f>
        <v>184602.36573658534</v>
      </c>
      <c r="C30" s="343" t="s">
        <v>739</v>
      </c>
      <c r="D30" s="258"/>
      <c r="F30" s="247" t="s">
        <v>151</v>
      </c>
      <c r="G30" s="279">
        <v>9</v>
      </c>
    </row>
    <row r="31" spans="1:7" ht="45">
      <c r="A31" s="287" t="s">
        <v>32</v>
      </c>
      <c r="B31" s="498">
        <f>(G28*9921.13*6)+(G28*10317.11*6)+(G16*10.41812*12)*G21</f>
        <v>139431.95136000001</v>
      </c>
      <c r="C31" s="344" t="s">
        <v>740</v>
      </c>
      <c r="D31" s="258"/>
      <c r="F31" s="247" t="s">
        <v>462</v>
      </c>
      <c r="G31" s="279">
        <v>867.9</v>
      </c>
    </row>
    <row r="32" spans="1:7" s="105" customFormat="1">
      <c r="A32" s="287" t="s">
        <v>34</v>
      </c>
      <c r="B32" s="345">
        <f>(16.06+16.7)*G16</f>
        <v>4717.4399999999996</v>
      </c>
      <c r="C32" s="346" t="s">
        <v>741</v>
      </c>
      <c r="D32" s="258" t="s">
        <v>88</v>
      </c>
      <c r="E32" s="499"/>
      <c r="F32" s="285" t="s">
        <v>463</v>
      </c>
      <c r="G32" s="286">
        <v>867.9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27733</v>
      </c>
    </row>
    <row r="34" spans="1:7">
      <c r="A34" s="287" t="s">
        <v>36</v>
      </c>
      <c r="B34" s="347">
        <f>0.25*G31*12</f>
        <v>2603.6999999999998</v>
      </c>
      <c r="C34" s="348" t="s">
        <v>742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345">
        <f>2.34*G31*4</f>
        <v>8123.543999999999</v>
      </c>
      <c r="C35" s="251" t="s">
        <v>743</v>
      </c>
      <c r="D35" s="258" t="s">
        <v>89</v>
      </c>
      <c r="F35" s="247" t="s">
        <v>467</v>
      </c>
      <c r="G35" s="279">
        <v>1</v>
      </c>
    </row>
    <row r="36" spans="1:7" ht="30">
      <c r="A36" s="417" t="s">
        <v>67</v>
      </c>
      <c r="B36" s="381">
        <f>(635.59*6+661.01*6)*G34</f>
        <v>7779.6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>
      <c r="A38" s="385" t="s">
        <v>529</v>
      </c>
      <c r="B38" s="383">
        <f>3750*12*1</f>
        <v>45000</v>
      </c>
      <c r="C38" s="417" t="s">
        <v>607</v>
      </c>
      <c r="D38" s="504" t="s">
        <v>85</v>
      </c>
    </row>
    <row r="39" spans="1:7">
      <c r="A39" s="385" t="s">
        <v>530</v>
      </c>
      <c r="B39" s="383">
        <f>4190*1</f>
        <v>4190</v>
      </c>
      <c r="C39" s="417" t="s">
        <v>605</v>
      </c>
      <c r="D39" s="505" t="s">
        <v>532</v>
      </c>
    </row>
    <row r="40" spans="1:7" ht="15.75">
      <c r="A40" s="507" t="s">
        <v>47</v>
      </c>
      <c r="B40" s="492">
        <f>SUM(B29:B39)</f>
        <v>498606.49896805937</v>
      </c>
      <c r="C40" s="509"/>
      <c r="D40" s="477"/>
    </row>
    <row r="41" spans="1:7">
      <c r="A41" s="496" t="s">
        <v>48</v>
      </c>
      <c r="B41" s="487"/>
      <c r="C41" s="485"/>
      <c r="D41" s="477"/>
    </row>
    <row r="42" spans="1:7" ht="45">
      <c r="A42" s="421" t="s">
        <v>49</v>
      </c>
      <c r="B42" s="413">
        <f>(G26*100.2134*6)+(G26*104.2268)+(1.71*(B12+B11)*12)</f>
        <v>122340.80009599999</v>
      </c>
      <c r="C42" s="422" t="s">
        <v>744</v>
      </c>
      <c r="D42" s="423"/>
    </row>
    <row r="43" spans="1:7" s="111" customFormat="1" ht="120">
      <c r="A43" s="426" t="s">
        <v>120</v>
      </c>
      <c r="B43" s="427">
        <f>17.51*(B12+B11)</f>
        <v>86075.65800000001</v>
      </c>
      <c r="C43" s="428" t="s">
        <v>745</v>
      </c>
      <c r="D43" s="377"/>
      <c r="E43" s="513"/>
    </row>
    <row r="44" spans="1:7" ht="63">
      <c r="A44" s="456" t="s">
        <v>51</v>
      </c>
      <c r="B44" s="457">
        <f>(654.11+263.56/3)*G33/1000</f>
        <v>20576.869123333334</v>
      </c>
      <c r="C44" s="458" t="s">
        <v>748</v>
      </c>
      <c r="D44" s="459" t="s">
        <v>91</v>
      </c>
    </row>
    <row r="45" spans="1:7" ht="60">
      <c r="A45" s="430" t="s">
        <v>52</v>
      </c>
      <c r="B45" s="431">
        <f>((G25/12*6*100.2134)+(G25/12*6*104.2268))+((G25/12*6*100.2134)+(G25/12*6*104.2268))/1.302*25%</f>
        <v>77012.566812755744</v>
      </c>
      <c r="C45" s="422" t="s">
        <v>749</v>
      </c>
      <c r="D45" s="377"/>
    </row>
    <row r="46" spans="1:7" ht="15.75">
      <c r="A46" s="515" t="s">
        <v>53</v>
      </c>
      <c r="B46" s="492">
        <f>SUM(B43:B45)</f>
        <v>183665.09393608908</v>
      </c>
      <c r="C46" s="509"/>
      <c r="D46" s="477"/>
    </row>
    <row r="47" spans="1:7">
      <c r="A47" s="514" t="s">
        <v>54</v>
      </c>
      <c r="B47" s="487"/>
      <c r="C47" s="485"/>
      <c r="D47" s="477"/>
    </row>
    <row r="48" spans="1:7" s="105" customFormat="1" ht="12.75">
      <c r="A48" s="118" t="s">
        <v>501</v>
      </c>
      <c r="B48" s="201"/>
      <c r="C48" s="516"/>
      <c r="D48" s="477"/>
      <c r="E48" s="499"/>
    </row>
    <row r="49" spans="1:4">
      <c r="A49" s="514" t="s">
        <v>502</v>
      </c>
      <c r="B49" s="487"/>
      <c r="C49" s="517"/>
      <c r="D49" s="477"/>
    </row>
    <row r="50" spans="1:4">
      <c r="A50" s="514" t="s">
        <v>57</v>
      </c>
      <c r="B50" s="487"/>
      <c r="C50" s="517"/>
      <c r="D50" s="477"/>
    </row>
    <row r="51" spans="1:4">
      <c r="A51" s="514" t="s">
        <v>58</v>
      </c>
      <c r="B51" s="487"/>
      <c r="C51" s="517"/>
      <c r="D51" s="477"/>
    </row>
    <row r="52" spans="1:4">
      <c r="A52" s="514" t="s">
        <v>59</v>
      </c>
      <c r="B52" s="487"/>
      <c r="C52" s="517"/>
      <c r="D52" s="477"/>
    </row>
    <row r="53" spans="1:4" ht="15.75">
      <c r="A53" s="515" t="s">
        <v>60</v>
      </c>
      <c r="B53" s="492">
        <f>B48+B49</f>
        <v>0</v>
      </c>
      <c r="C53" s="518"/>
      <c r="D53" s="477"/>
    </row>
    <row r="54" spans="1:4">
      <c r="A54" s="519" t="s">
        <v>61</v>
      </c>
      <c r="B54" s="407">
        <f>3.051*(B11+B12)</f>
        <v>14998.105800000001</v>
      </c>
      <c r="C54" s="539" t="s">
        <v>746</v>
      </c>
      <c r="D54" s="477"/>
    </row>
    <row r="55" spans="1:4">
      <c r="A55" s="520" t="s">
        <v>62</v>
      </c>
      <c r="B55" s="407">
        <f>1.54*(B11+B12)</f>
        <v>7570.3320000000003</v>
      </c>
      <c r="C55" s="540" t="s">
        <v>747</v>
      </c>
      <c r="D55" s="477"/>
    </row>
    <row r="56" spans="1:4">
      <c r="A56" s="488" t="s">
        <v>63</v>
      </c>
      <c r="B56" s="440">
        <f>(B40+B46)*0.348</f>
        <v>237430.51433064364</v>
      </c>
      <c r="C56" s="381" t="s">
        <v>514</v>
      </c>
      <c r="D56" s="477"/>
    </row>
    <row r="57" spans="1:4" ht="25.5">
      <c r="A57" s="488" t="s">
        <v>121</v>
      </c>
      <c r="B57" s="487">
        <f>(B40+B46+B53+B56)*0.132</f>
        <v>121400.67815499257</v>
      </c>
      <c r="C57" s="517" t="s">
        <v>503</v>
      </c>
      <c r="D57" s="477" t="s">
        <v>85</v>
      </c>
    </row>
    <row r="58" spans="1:4" ht="15.75">
      <c r="A58" s="441" t="s">
        <v>122</v>
      </c>
      <c r="B58" s="492">
        <f>B54+B55+B56+B57</f>
        <v>381399.63028563623</v>
      </c>
      <c r="C58" s="518"/>
      <c r="D58" s="477"/>
    </row>
    <row r="59" spans="1:4">
      <c r="A59" s="488" t="s">
        <v>64</v>
      </c>
      <c r="B59" s="487">
        <f>(B40+B46+B53+B58)*3%</f>
        <v>31910.136695693538</v>
      </c>
      <c r="C59" s="517"/>
      <c r="D59" s="477"/>
    </row>
    <row r="60" spans="1:4" ht="15.75">
      <c r="A60" s="522" t="s">
        <v>26</v>
      </c>
      <c r="B60" s="537">
        <f>B40+B46+B53+B58+B59</f>
        <v>1095581.3598854782</v>
      </c>
      <c r="C60" s="524"/>
      <c r="D60" s="477"/>
    </row>
    <row r="61" spans="1:4" ht="15.75">
      <c r="A61" s="522" t="s">
        <v>65</v>
      </c>
      <c r="B61" s="537">
        <f>B60*1.2</f>
        <v>1314697.6318625738</v>
      </c>
      <c r="C61" s="524"/>
      <c r="D61" s="477"/>
    </row>
    <row r="62" spans="1:4" ht="15.75">
      <c r="A62" s="525"/>
      <c r="B62" s="492">
        <f>B26-B61</f>
        <v>-494271.59986257378</v>
      </c>
      <c r="C62" s="526"/>
      <c r="D62" s="477"/>
    </row>
    <row r="63" spans="1:4" ht="30">
      <c r="A63" s="527" t="s">
        <v>123</v>
      </c>
      <c r="B63" s="528">
        <f>B61/(B11+B12)/12</f>
        <v>22.286939254759716</v>
      </c>
      <c r="C63" s="529" t="s">
        <v>569</v>
      </c>
      <c r="D63" s="530"/>
    </row>
    <row r="64" spans="1:4">
      <c r="A64" s="531"/>
      <c r="B64" s="532"/>
      <c r="C64" s="533"/>
      <c r="D64" s="534"/>
    </row>
    <row r="65" spans="1:4" ht="15" customHeight="1">
      <c r="A65" s="799" t="s">
        <v>124</v>
      </c>
      <c r="B65" s="799"/>
      <c r="C65" s="799"/>
      <c r="D65" s="205"/>
    </row>
    <row r="66" spans="1:4" ht="30" customHeight="1">
      <c r="A66" s="800" t="s">
        <v>518</v>
      </c>
      <c r="B66" s="800"/>
      <c r="C66" s="800"/>
      <c r="D66" s="205"/>
    </row>
    <row r="67" spans="1:4" ht="27.75" customHeight="1">
      <c r="A67" s="800" t="s">
        <v>519</v>
      </c>
      <c r="B67" s="800"/>
      <c r="C67" s="800"/>
      <c r="D67" s="205"/>
    </row>
    <row r="68" spans="1:4" ht="25.5" customHeight="1">
      <c r="A68" s="160"/>
      <c r="B68" s="453"/>
      <c r="D68" s="205"/>
    </row>
    <row r="69" spans="1:4">
      <c r="A69" s="797" t="s">
        <v>505</v>
      </c>
      <c r="B69" s="797"/>
      <c r="C69" s="797"/>
      <c r="D69" s="205"/>
    </row>
    <row r="70" spans="1:4">
      <c r="A70" s="160"/>
      <c r="B70" s="161"/>
      <c r="C70" s="162"/>
      <c r="D70" s="205"/>
    </row>
    <row r="71" spans="1:4" ht="18.75">
      <c r="A71" s="170"/>
      <c r="B71" s="170"/>
      <c r="C71" s="170"/>
    </row>
  </sheetData>
  <mergeCells count="6">
    <mergeCell ref="A69:C69"/>
    <mergeCell ref="A7:D7"/>
    <mergeCell ref="A8:D9"/>
    <mergeCell ref="A65:C65"/>
    <mergeCell ref="A66:C66"/>
    <mergeCell ref="A67:C67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3:G79"/>
  <sheetViews>
    <sheetView topLeftCell="A2" workbookViewId="0">
      <selection activeCell="A10" sqref="A10:D11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3" style="162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3" spans="1:4">
      <c r="C3" s="162" t="s">
        <v>0</v>
      </c>
      <c r="D3" s="193"/>
    </row>
    <row r="4" spans="1:4">
      <c r="C4" s="162" t="s">
        <v>216</v>
      </c>
      <c r="D4" s="193"/>
    </row>
    <row r="5" spans="1:4">
      <c r="C5" s="162" t="s">
        <v>189</v>
      </c>
      <c r="D5" s="193"/>
    </row>
    <row r="6" spans="1:4">
      <c r="C6" s="162"/>
      <c r="D6" s="193"/>
    </row>
    <row r="7" spans="1:4">
      <c r="C7" s="162" t="s">
        <v>217</v>
      </c>
      <c r="D7" s="193"/>
    </row>
    <row r="9" spans="1:4">
      <c r="A9" s="801" t="s">
        <v>478</v>
      </c>
      <c r="B9" s="801"/>
      <c r="C9" s="801"/>
      <c r="D9" s="801"/>
    </row>
    <row r="10" spans="1:4">
      <c r="A10" s="801" t="s">
        <v>570</v>
      </c>
      <c r="B10" s="801"/>
      <c r="C10" s="801"/>
      <c r="D10" s="801"/>
    </row>
    <row r="11" spans="1:4">
      <c r="A11" s="801"/>
      <c r="B11" s="801"/>
      <c r="C11" s="801"/>
      <c r="D11" s="801"/>
    </row>
    <row r="12" spans="1:4">
      <c r="A12" s="237"/>
      <c r="B12" s="237"/>
      <c r="C12" s="237"/>
    </row>
    <row r="13" spans="1:4">
      <c r="A13" s="160" t="s">
        <v>2</v>
      </c>
      <c r="B13" s="463">
        <f>G25</f>
        <v>2948.6</v>
      </c>
      <c r="C13" s="463" t="s">
        <v>487</v>
      </c>
    </row>
    <row r="14" spans="1:4" s="469" customFormat="1">
      <c r="A14" s="464" t="s">
        <v>3</v>
      </c>
      <c r="B14" s="559">
        <f>451.3+123.1+27.7+361.9</f>
        <v>964</v>
      </c>
      <c r="C14" s="241"/>
    </row>
    <row r="15" spans="1:4" s="469" customFormat="1">
      <c r="A15" s="464"/>
      <c r="B15" s="362"/>
      <c r="C15" s="241"/>
    </row>
    <row r="16" spans="1:4" ht="28.5">
      <c r="A16" s="560" t="s">
        <v>4</v>
      </c>
      <c r="B16" s="561" t="s">
        <v>5</v>
      </c>
      <c r="C16" s="561" t="s">
        <v>661</v>
      </c>
      <c r="D16" s="562" t="s">
        <v>84</v>
      </c>
    </row>
    <row r="17" spans="1:7">
      <c r="A17" s="563" t="s">
        <v>7</v>
      </c>
      <c r="B17" s="728">
        <f>B13*G24*12</f>
        <v>473073.38399999996</v>
      </c>
      <c r="C17" s="588" t="s">
        <v>763</v>
      </c>
      <c r="D17" s="425" t="s">
        <v>85</v>
      </c>
    </row>
    <row r="18" spans="1:7">
      <c r="A18" s="374" t="s">
        <v>9</v>
      </c>
      <c r="B18" s="375">
        <f>B19+B21+B23+B25</f>
        <v>154664.15999999997</v>
      </c>
      <c r="C18" s="376"/>
      <c r="D18" s="425"/>
    </row>
    <row r="19" spans="1:7">
      <c r="A19" s="484" t="s">
        <v>965</v>
      </c>
      <c r="B19" s="381">
        <f>B20</f>
        <v>72406.571999999986</v>
      </c>
      <c r="C19" s="237"/>
      <c r="D19" s="383"/>
    </row>
    <row r="20" spans="1:7">
      <c r="A20" s="394" t="s">
        <v>10</v>
      </c>
      <c r="B20" s="381">
        <f>451.3*13.37*12</f>
        <v>72406.571999999986</v>
      </c>
      <c r="C20" s="588" t="s">
        <v>764</v>
      </c>
      <c r="D20" s="383"/>
    </row>
    <row r="21" spans="1:7">
      <c r="A21" s="484" t="s">
        <v>571</v>
      </c>
      <c r="B21" s="381">
        <f>B22</f>
        <v>19750.163999999997</v>
      </c>
      <c r="C21" s="588"/>
      <c r="D21" s="383"/>
    </row>
    <row r="22" spans="1:7">
      <c r="A22" s="394" t="s">
        <v>10</v>
      </c>
      <c r="B22" s="381">
        <f>123.1*13.37*12</f>
        <v>19750.163999999997</v>
      </c>
      <c r="C22" s="588" t="s">
        <v>765</v>
      </c>
      <c r="D22" s="383"/>
    </row>
    <row r="23" spans="1:7">
      <c r="A23" s="484" t="s">
        <v>572</v>
      </c>
      <c r="B23" s="381">
        <f>B24</f>
        <v>4444.1880000000001</v>
      </c>
      <c r="C23" s="588"/>
      <c r="D23" s="383"/>
    </row>
    <row r="24" spans="1:7">
      <c r="A24" s="394" t="s">
        <v>10</v>
      </c>
      <c r="B24" s="381">
        <f>27.7*13.37*12</f>
        <v>4444.1880000000001</v>
      </c>
      <c r="C24" s="588" t="s">
        <v>766</v>
      </c>
      <c r="D24" s="383"/>
      <c r="F24" s="253" t="s">
        <v>132</v>
      </c>
      <c r="G24" s="254">
        <v>13.37</v>
      </c>
    </row>
    <row r="25" spans="1:7">
      <c r="A25" s="484" t="s">
        <v>573</v>
      </c>
      <c r="B25" s="381">
        <f>B26</f>
        <v>58063.23599999999</v>
      </c>
      <c r="C25" s="588"/>
      <c r="D25" s="383"/>
      <c r="F25" s="259" t="s">
        <v>134</v>
      </c>
      <c r="G25" s="260">
        <v>2948.6</v>
      </c>
    </row>
    <row r="26" spans="1:7">
      <c r="A26" s="394" t="s">
        <v>10</v>
      </c>
      <c r="B26" s="381">
        <f>361.9*13.37*12</f>
        <v>58063.23599999999</v>
      </c>
      <c r="C26" s="588" t="s">
        <v>767</v>
      </c>
      <c r="D26" s="383"/>
      <c r="F26" s="259" t="s">
        <v>135</v>
      </c>
      <c r="G26" s="260">
        <v>66</v>
      </c>
    </row>
    <row r="27" spans="1:7">
      <c r="A27" s="321" t="s">
        <v>12</v>
      </c>
      <c r="B27" s="565">
        <f>B17+B18</f>
        <v>627737.54399999999</v>
      </c>
      <c r="C27" s="428"/>
      <c r="D27" s="425"/>
      <c r="F27" s="259" t="s">
        <v>136</v>
      </c>
      <c r="G27" s="260">
        <v>170</v>
      </c>
    </row>
    <row r="28" spans="1:7" ht="30">
      <c r="A28" s="391" t="s">
        <v>13</v>
      </c>
      <c r="B28" s="407">
        <f>B29+B30+B31+B32+B33+B34</f>
        <v>6839.76</v>
      </c>
      <c r="C28" s="428"/>
      <c r="D28" s="425"/>
      <c r="F28" s="247" t="s">
        <v>459</v>
      </c>
      <c r="G28" s="248">
        <v>0</v>
      </c>
    </row>
    <row r="29" spans="1:7">
      <c r="A29" s="394" t="s">
        <v>14</v>
      </c>
      <c r="B29" s="407">
        <f>34.98*12</f>
        <v>419.76</v>
      </c>
      <c r="C29" s="428" t="s">
        <v>15</v>
      </c>
      <c r="D29" s="425" t="s">
        <v>85</v>
      </c>
      <c r="F29" s="259" t="s">
        <v>139</v>
      </c>
      <c r="G29" s="260">
        <v>1229</v>
      </c>
    </row>
    <row r="30" spans="1:7">
      <c r="A30" s="394" t="s">
        <v>16</v>
      </c>
      <c r="B30" s="407">
        <f>137.5*12*0</f>
        <v>0</v>
      </c>
      <c r="C30" s="428" t="s">
        <v>17</v>
      </c>
      <c r="D30" s="425" t="s">
        <v>85</v>
      </c>
      <c r="F30" s="259" t="s">
        <v>140</v>
      </c>
      <c r="G30" s="260">
        <v>0</v>
      </c>
    </row>
    <row r="31" spans="1:7">
      <c r="A31" s="394" t="s">
        <v>18</v>
      </c>
      <c r="B31" s="407">
        <f>123.75*12</f>
        <v>1485</v>
      </c>
      <c r="C31" s="428" t="s">
        <v>19</v>
      </c>
      <c r="D31" s="425" t="s">
        <v>85</v>
      </c>
      <c r="F31" s="259" t="s">
        <v>141</v>
      </c>
      <c r="G31" s="260">
        <v>0</v>
      </c>
    </row>
    <row r="32" spans="1:7">
      <c r="A32" s="394" t="s">
        <v>20</v>
      </c>
      <c r="B32" s="407">
        <f>123.75*12</f>
        <v>1485</v>
      </c>
      <c r="C32" s="428" t="s">
        <v>19</v>
      </c>
      <c r="D32" s="425" t="s">
        <v>85</v>
      </c>
      <c r="F32" s="259" t="s">
        <v>142</v>
      </c>
      <c r="G32" s="260">
        <v>2184.8000000000002</v>
      </c>
    </row>
    <row r="33" spans="1:7">
      <c r="A33" s="394" t="s">
        <v>66</v>
      </c>
      <c r="B33" s="407">
        <f>150*12</f>
        <v>1800</v>
      </c>
      <c r="C33" s="428" t="s">
        <v>21</v>
      </c>
      <c r="D33" s="425" t="s">
        <v>85</v>
      </c>
      <c r="F33" s="259" t="s">
        <v>143</v>
      </c>
      <c r="G33" s="277">
        <v>709.2</v>
      </c>
    </row>
    <row r="34" spans="1:7">
      <c r="A34" s="394" t="s">
        <v>22</v>
      </c>
      <c r="B34" s="407">
        <f>137.5*12</f>
        <v>1650</v>
      </c>
      <c r="C34" s="428" t="s">
        <v>17</v>
      </c>
      <c r="D34" s="425" t="s">
        <v>85</v>
      </c>
      <c r="F34" s="259" t="s">
        <v>144</v>
      </c>
      <c r="G34" s="278">
        <v>0</v>
      </c>
    </row>
    <row r="35" spans="1:7">
      <c r="A35" s="391" t="s">
        <v>24</v>
      </c>
      <c r="B35" s="407">
        <v>0</v>
      </c>
      <c r="C35" s="540"/>
      <c r="D35" s="490"/>
      <c r="F35" s="259" t="s">
        <v>145</v>
      </c>
      <c r="G35" s="278">
        <v>436.99</v>
      </c>
    </row>
    <row r="36" spans="1:7">
      <c r="A36" s="400" t="s">
        <v>26</v>
      </c>
      <c r="B36" s="437">
        <f>B27+B28+B35</f>
        <v>634577.304</v>
      </c>
      <c r="C36" s="540"/>
      <c r="D36" s="490"/>
      <c r="F36" s="259" t="s">
        <v>460</v>
      </c>
      <c r="G36" s="278">
        <v>8.5500000000000007</v>
      </c>
    </row>
    <row r="37" spans="1:7">
      <c r="A37" s="402" t="s">
        <v>27</v>
      </c>
      <c r="B37" s="281" t="s">
        <v>5</v>
      </c>
      <c r="C37" s="566" t="s">
        <v>28</v>
      </c>
      <c r="D37" s="490"/>
      <c r="F37" s="259" t="s">
        <v>461</v>
      </c>
      <c r="G37" s="278">
        <f>(G32/3+G33)/2920</f>
        <v>0.49228310502283107</v>
      </c>
    </row>
    <row r="38" spans="1:7">
      <c r="A38" s="406" t="s">
        <v>29</v>
      </c>
      <c r="B38" s="407"/>
      <c r="C38" s="408"/>
      <c r="D38" s="490"/>
      <c r="F38" s="259" t="s">
        <v>148</v>
      </c>
      <c r="G38" s="278">
        <v>0</v>
      </c>
    </row>
    <row r="39" spans="1:7" ht="75">
      <c r="A39" s="409" t="s">
        <v>30</v>
      </c>
      <c r="B39" s="340">
        <f>(G37*(3708+200)*1.5*1.15*1.083*1.302*6)+G37*((3708+200)*1.5*1.15*1.083*1.302*6)+(0.104*G32*12)</f>
        <v>58880.4461359177</v>
      </c>
      <c r="C39" s="341" t="s">
        <v>751</v>
      </c>
      <c r="D39" s="288" t="s">
        <v>86</v>
      </c>
      <c r="F39" s="259" t="s">
        <v>149</v>
      </c>
      <c r="G39" s="279">
        <v>0</v>
      </c>
    </row>
    <row r="40" spans="1:7" ht="30">
      <c r="A40" s="287" t="s">
        <v>31</v>
      </c>
      <c r="B40" s="342">
        <f>(G39*9921.13*6)+(G39*10317.11*6)</f>
        <v>0</v>
      </c>
      <c r="C40" s="343" t="s">
        <v>509</v>
      </c>
      <c r="D40" s="258"/>
      <c r="F40" s="247" t="s">
        <v>151</v>
      </c>
      <c r="G40" s="279">
        <v>5</v>
      </c>
    </row>
    <row r="41" spans="1:7" ht="45">
      <c r="A41" s="287" t="s">
        <v>32</v>
      </c>
      <c r="B41" s="498">
        <f>(G38*9921.13*6)+(G38*10317.11*6)+(G26*10.41812*12)*G31</f>
        <v>0</v>
      </c>
      <c r="C41" s="344" t="s">
        <v>752</v>
      </c>
      <c r="D41" s="258"/>
      <c r="F41" s="247" t="s">
        <v>462</v>
      </c>
      <c r="G41" s="279">
        <v>318.5</v>
      </c>
    </row>
    <row r="42" spans="1:7">
      <c r="A42" s="287" t="s">
        <v>34</v>
      </c>
      <c r="B42" s="345">
        <f>(16.06+16.7)*G26</f>
        <v>2162.16</v>
      </c>
      <c r="C42" s="346" t="s">
        <v>753</v>
      </c>
      <c r="D42" s="258" t="s">
        <v>88</v>
      </c>
      <c r="F42" s="285" t="s">
        <v>463</v>
      </c>
      <c r="G42" s="286">
        <v>318.5</v>
      </c>
    </row>
    <row r="43" spans="1:7" ht="30">
      <c r="A43" s="287" t="s">
        <v>35</v>
      </c>
      <c r="B43" s="345">
        <f>(49.72+51.71)*2*0</f>
        <v>0</v>
      </c>
      <c r="C43" s="346" t="s">
        <v>469</v>
      </c>
      <c r="D43" s="258"/>
      <c r="F43" s="289" t="s">
        <v>464</v>
      </c>
      <c r="G43" s="290">
        <v>13313</v>
      </c>
    </row>
    <row r="44" spans="1:7">
      <c r="A44" s="287" t="s">
        <v>36</v>
      </c>
      <c r="B44" s="347">
        <f>0.25*G41*12</f>
        <v>955.5</v>
      </c>
      <c r="C44" s="348" t="s">
        <v>754</v>
      </c>
      <c r="D44" s="258" t="s">
        <v>85</v>
      </c>
      <c r="F44" s="247" t="s">
        <v>465</v>
      </c>
      <c r="G44" s="279">
        <v>1</v>
      </c>
    </row>
    <row r="45" spans="1:7">
      <c r="A45" s="291" t="s">
        <v>37</v>
      </c>
      <c r="B45" s="345">
        <f>2.34*G41*4</f>
        <v>2981.16</v>
      </c>
      <c r="C45" s="251" t="s">
        <v>755</v>
      </c>
      <c r="D45" s="258" t="s">
        <v>89</v>
      </c>
      <c r="F45" s="247" t="s">
        <v>467</v>
      </c>
      <c r="G45" s="279">
        <v>2</v>
      </c>
    </row>
    <row r="46" spans="1:7">
      <c r="A46" s="417" t="s">
        <v>158</v>
      </c>
      <c r="B46" s="413">
        <f>355.89*12</f>
        <v>4270.68</v>
      </c>
      <c r="C46" s="385" t="s">
        <v>750</v>
      </c>
      <c r="D46" s="377"/>
      <c r="F46" s="552"/>
      <c r="G46" s="553"/>
    </row>
    <row r="47" spans="1:7" ht="30">
      <c r="A47" s="417" t="s">
        <v>67</v>
      </c>
      <c r="B47" s="381">
        <f>(635.59*6+661.01*6)*G44</f>
        <v>7779.6</v>
      </c>
      <c r="C47" s="385" t="s">
        <v>496</v>
      </c>
      <c r="D47" s="377" t="s">
        <v>85</v>
      </c>
    </row>
    <row r="48" spans="1:7" ht="30">
      <c r="A48" s="417" t="s">
        <v>190</v>
      </c>
      <c r="B48" s="418">
        <f>(466.1*6+484.74*6)*G28</f>
        <v>0</v>
      </c>
      <c r="C48" s="385" t="s">
        <v>497</v>
      </c>
      <c r="D48" s="377" t="s">
        <v>85</v>
      </c>
    </row>
    <row r="49" spans="1:4">
      <c r="A49" s="400" t="s">
        <v>47</v>
      </c>
      <c r="B49" s="437">
        <f>SUM(B39:B48)</f>
        <v>77029.546135917713</v>
      </c>
      <c r="C49" s="428"/>
      <c r="D49" s="425"/>
    </row>
    <row r="50" spans="1:4" s="569" customFormat="1">
      <c r="A50" s="409" t="s">
        <v>48</v>
      </c>
      <c r="B50" s="407"/>
      <c r="C50" s="428"/>
      <c r="D50" s="425"/>
    </row>
    <row r="51" spans="1:4" ht="45">
      <c r="A51" s="421" t="s">
        <v>49</v>
      </c>
      <c r="B51" s="413">
        <f>(G36*100.2134*6)+(G36*104.2268)+(1.71*(B13+B14)*12)</f>
        <v>86318.638559999992</v>
      </c>
      <c r="C51" s="422" t="s">
        <v>756</v>
      </c>
      <c r="D51" s="423"/>
    </row>
    <row r="52" spans="1:4" ht="120">
      <c r="A52" s="426" t="s">
        <v>120</v>
      </c>
      <c r="B52" s="427">
        <f>17.51*(B13+B14)</f>
        <v>68509.626000000004</v>
      </c>
      <c r="C52" s="428" t="s">
        <v>757</v>
      </c>
      <c r="D52" s="377"/>
    </row>
    <row r="53" spans="1:4" ht="60">
      <c r="A53" s="287" t="s">
        <v>51</v>
      </c>
      <c r="B53" s="440">
        <f>(654.11+263.56/3)*G43/1000</f>
        <v>9877.7578566666671</v>
      </c>
      <c r="C53" s="424" t="s">
        <v>760</v>
      </c>
      <c r="D53" s="417" t="s">
        <v>91</v>
      </c>
    </row>
    <row r="54" spans="1:4" ht="60">
      <c r="A54" s="430" t="s">
        <v>52</v>
      </c>
      <c r="B54" s="431">
        <f>((G35/12*6*100.2134)+(G35/12*6*104.2268))+((G35/12*6*100.2134)+(G35/12*6*104.2268))/1.302*25%</f>
        <v>53246.189436596003</v>
      </c>
      <c r="C54" s="422" t="s">
        <v>761</v>
      </c>
      <c r="D54" s="377"/>
    </row>
    <row r="55" spans="1:4">
      <c r="A55" s="432" t="s">
        <v>53</v>
      </c>
      <c r="B55" s="437">
        <f>SUM(B50:B54)</f>
        <v>217952.21185326265</v>
      </c>
      <c r="C55" s="428"/>
      <c r="D55" s="425"/>
    </row>
    <row r="56" spans="1:4">
      <c r="A56" s="430" t="s">
        <v>54</v>
      </c>
      <c r="B56" s="407"/>
      <c r="C56" s="428"/>
      <c r="D56" s="425"/>
    </row>
    <row r="57" spans="1:4" s="572" customFormat="1">
      <c r="A57" s="298" t="s">
        <v>501</v>
      </c>
      <c r="B57" s="570"/>
      <c r="C57" s="571"/>
      <c r="D57" s="425"/>
    </row>
    <row r="58" spans="1:4">
      <c r="A58" s="430" t="s">
        <v>502</v>
      </c>
      <c r="B58" s="407"/>
      <c r="C58" s="436"/>
      <c r="D58" s="425"/>
    </row>
    <row r="59" spans="1:4">
      <c r="A59" s="430" t="s">
        <v>57</v>
      </c>
      <c r="B59" s="407"/>
      <c r="C59" s="436"/>
      <c r="D59" s="425"/>
    </row>
    <row r="60" spans="1:4">
      <c r="A60" s="430" t="s">
        <v>58</v>
      </c>
      <c r="B60" s="407"/>
      <c r="C60" s="436"/>
      <c r="D60" s="425"/>
    </row>
    <row r="61" spans="1:4">
      <c r="A61" s="430" t="s">
        <v>59</v>
      </c>
      <c r="B61" s="407"/>
      <c r="C61" s="436"/>
      <c r="D61" s="425"/>
    </row>
    <row r="62" spans="1:4">
      <c r="A62" s="432" t="s">
        <v>60</v>
      </c>
      <c r="B62" s="437">
        <f>B57+B58</f>
        <v>0</v>
      </c>
      <c r="C62" s="436"/>
      <c r="D62" s="425"/>
    </row>
    <row r="63" spans="1:4">
      <c r="A63" s="438" t="s">
        <v>61</v>
      </c>
      <c r="B63" s="407">
        <f>3.051*(B13+B14)</f>
        <v>11937.3426</v>
      </c>
      <c r="C63" s="539" t="s">
        <v>758</v>
      </c>
      <c r="D63" s="425"/>
    </row>
    <row r="64" spans="1:4">
      <c r="A64" s="439" t="s">
        <v>62</v>
      </c>
      <c r="B64" s="407">
        <f>1.54*(B13+B14)</f>
        <v>6025.4040000000005</v>
      </c>
      <c r="C64" s="540" t="s">
        <v>759</v>
      </c>
      <c r="D64" s="425"/>
    </row>
    <row r="65" spans="1:4">
      <c r="A65" s="394" t="s">
        <v>63</v>
      </c>
      <c r="B65" s="440">
        <f>(B49+B55)*0.348</f>
        <v>102653.65178023477</v>
      </c>
      <c r="C65" s="381" t="s">
        <v>514</v>
      </c>
      <c r="D65" s="425"/>
    </row>
    <row r="66" spans="1:4" ht="45">
      <c r="A66" s="394" t="s">
        <v>121</v>
      </c>
      <c r="B66" s="407">
        <f>(B49+B55+B62+B65)*0.132</f>
        <v>52487.8740895628</v>
      </c>
      <c r="C66" s="436" t="s">
        <v>503</v>
      </c>
      <c r="D66" s="425" t="s">
        <v>85</v>
      </c>
    </row>
    <row r="67" spans="1:4">
      <c r="A67" s="441" t="s">
        <v>122</v>
      </c>
      <c r="B67" s="437">
        <f>B63+B64+B65+B66</f>
        <v>173104.27246979758</v>
      </c>
      <c r="C67" s="436"/>
      <c r="D67" s="425"/>
    </row>
    <row r="68" spans="1:4">
      <c r="A68" s="394" t="s">
        <v>64</v>
      </c>
      <c r="B68" s="407">
        <f>(B49+B55+B62+B67)*3%</f>
        <v>14042.580913769338</v>
      </c>
      <c r="C68" s="436"/>
      <c r="D68" s="425"/>
    </row>
    <row r="69" spans="1:4">
      <c r="A69" s="441" t="s">
        <v>26</v>
      </c>
      <c r="B69" s="442">
        <f>B49+B55+B62+B67+B68</f>
        <v>482128.61137274728</v>
      </c>
      <c r="C69" s="443"/>
      <c r="D69" s="425"/>
    </row>
    <row r="70" spans="1:4">
      <c r="A70" s="441" t="s">
        <v>65</v>
      </c>
      <c r="B70" s="442">
        <f>B69*1.2</f>
        <v>578554.33364729676</v>
      </c>
      <c r="C70" s="443"/>
      <c r="D70" s="425"/>
    </row>
    <row r="71" spans="1:4">
      <c r="A71" s="438"/>
      <c r="B71" s="437">
        <f>B36-B70</f>
        <v>56022.97035270324</v>
      </c>
      <c r="C71" s="444"/>
      <c r="D71" s="425"/>
    </row>
    <row r="72" spans="1:4" ht="30">
      <c r="A72" s="527" t="s">
        <v>123</v>
      </c>
      <c r="B72" s="528">
        <f>B70/(B13+B14)/12</f>
        <v>12.322461058445723</v>
      </c>
      <c r="C72" s="529" t="s">
        <v>574</v>
      </c>
      <c r="D72" s="448"/>
    </row>
    <row r="73" spans="1:4">
      <c r="A73" s="531"/>
      <c r="B73" s="532"/>
      <c r="C73" s="533"/>
      <c r="D73" s="452"/>
    </row>
    <row r="74" spans="1:4">
      <c r="A74" s="799" t="s">
        <v>124</v>
      </c>
      <c r="B74" s="799"/>
      <c r="C74" s="799"/>
      <c r="D74" s="205"/>
    </row>
    <row r="75" spans="1:4" ht="31.5" customHeight="1">
      <c r="A75" s="800" t="s">
        <v>518</v>
      </c>
      <c r="B75" s="800"/>
      <c r="C75" s="800"/>
      <c r="D75" s="205"/>
    </row>
    <row r="76" spans="1:4" ht="31.5" customHeight="1">
      <c r="A76" s="800" t="s">
        <v>519</v>
      </c>
      <c r="B76" s="800"/>
      <c r="C76" s="800"/>
      <c r="D76" s="205"/>
    </row>
    <row r="77" spans="1:4">
      <c r="A77" s="160"/>
      <c r="B77" s="453"/>
      <c r="D77" s="205"/>
    </row>
    <row r="78" spans="1:4">
      <c r="A78" s="797" t="s">
        <v>505</v>
      </c>
      <c r="B78" s="797"/>
      <c r="C78" s="797"/>
      <c r="D78" s="205"/>
    </row>
    <row r="79" spans="1:4">
      <c r="A79" s="160"/>
      <c r="B79" s="161"/>
      <c r="C79" s="162"/>
      <c r="D79" s="205"/>
    </row>
  </sheetData>
  <mergeCells count="6">
    <mergeCell ref="A78:C78"/>
    <mergeCell ref="A9:D9"/>
    <mergeCell ref="A10:D11"/>
    <mergeCell ref="A74:C74"/>
    <mergeCell ref="A75:C75"/>
    <mergeCell ref="A76:C76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:G86"/>
  <sheetViews>
    <sheetView topLeftCell="A32" zoomScale="60" zoomScaleNormal="60" workbookViewId="0">
      <selection activeCell="E32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42.7109375" style="66" customWidth="1"/>
    <col min="4" max="4" width="22" style="66" customWidth="1"/>
    <col min="5" max="5" width="4.5703125" style="360" hidden="1" customWidth="1"/>
    <col min="6" max="6" width="26.140625" style="360" hidden="1" customWidth="1"/>
    <col min="7" max="7" width="15.140625" style="360" hidden="1" customWidth="1"/>
    <col min="8" max="16384" width="9.140625" style="360"/>
  </cols>
  <sheetData>
    <row r="1" spans="1:7">
      <c r="C1" s="359" t="s">
        <v>0</v>
      </c>
    </row>
    <row r="2" spans="1:7">
      <c r="C2" s="359" t="s">
        <v>216</v>
      </c>
    </row>
    <row r="3" spans="1:7">
      <c r="C3" s="359" t="s">
        <v>189</v>
      </c>
    </row>
    <row r="4" spans="1:7">
      <c r="C4" s="359"/>
    </row>
    <row r="5" spans="1:7">
      <c r="C5" s="359" t="s">
        <v>217</v>
      </c>
    </row>
    <row r="6" spans="1:7">
      <c r="C6" s="193"/>
    </row>
    <row r="7" spans="1:7">
      <c r="A7" s="801" t="s">
        <v>478</v>
      </c>
      <c r="B7" s="801"/>
      <c r="C7" s="801"/>
      <c r="D7" s="801"/>
    </row>
    <row r="8" spans="1:7">
      <c r="A8" s="801" t="s">
        <v>486</v>
      </c>
      <c r="B8" s="801"/>
      <c r="C8" s="801"/>
      <c r="D8" s="801"/>
    </row>
    <row r="9" spans="1:7">
      <c r="A9" s="801"/>
      <c r="B9" s="801"/>
      <c r="C9" s="801"/>
      <c r="D9" s="801"/>
    </row>
    <row r="10" spans="1:7">
      <c r="A10" s="237"/>
      <c r="B10" s="237"/>
      <c r="C10" s="237"/>
    </row>
    <row r="11" spans="1:7">
      <c r="A11" s="160" t="s">
        <v>2</v>
      </c>
      <c r="B11" s="361">
        <f>G16</f>
        <v>2535.1999999999998</v>
      </c>
      <c r="C11" s="463" t="s">
        <v>72</v>
      </c>
    </row>
    <row r="12" spans="1:7" s="363" customFormat="1">
      <c r="A12" s="314" t="s">
        <v>3</v>
      </c>
      <c r="B12" s="362">
        <v>0</v>
      </c>
      <c r="C12" s="241"/>
      <c r="D12" s="242"/>
    </row>
    <row r="13" spans="1:7" s="363" customFormat="1">
      <c r="A13" s="314"/>
      <c r="B13" s="240"/>
      <c r="C13" s="241"/>
      <c r="D13" s="242"/>
    </row>
    <row r="14" spans="1:7" ht="28.5">
      <c r="A14" s="364" t="s">
        <v>4</v>
      </c>
      <c r="B14" s="365" t="s">
        <v>5</v>
      </c>
      <c r="C14" s="365" t="s">
        <v>661</v>
      </c>
      <c r="D14" s="366" t="s">
        <v>84</v>
      </c>
      <c r="F14" s="367" t="s">
        <v>132</v>
      </c>
      <c r="G14" s="368">
        <v>13.72</v>
      </c>
    </row>
    <row r="15" spans="1:7">
      <c r="A15" s="369" t="s">
        <v>7</v>
      </c>
      <c r="B15" s="370">
        <f>G16*G14*12</f>
        <v>417395.32799999998</v>
      </c>
      <c r="C15" s="371" t="s">
        <v>488</v>
      </c>
      <c r="D15" s="372" t="s">
        <v>85</v>
      </c>
      <c r="F15" s="373" t="s">
        <v>457</v>
      </c>
      <c r="G15" s="290">
        <v>105</v>
      </c>
    </row>
    <row r="16" spans="1:7">
      <c r="A16" s="374" t="s">
        <v>9</v>
      </c>
      <c r="B16" s="375">
        <v>0</v>
      </c>
      <c r="C16" s="376"/>
      <c r="D16" s="377"/>
      <c r="F16" s="378" t="s">
        <v>134</v>
      </c>
      <c r="G16" s="379">
        <v>2535.1999999999998</v>
      </c>
    </row>
    <row r="17" spans="1:7" hidden="1">
      <c r="A17" s="380"/>
      <c r="B17" s="381"/>
      <c r="C17" s="382"/>
      <c r="D17" s="383"/>
      <c r="F17" s="378" t="s">
        <v>135</v>
      </c>
      <c r="G17" s="379">
        <v>59</v>
      </c>
    </row>
    <row r="18" spans="1:7" hidden="1">
      <c r="A18" s="384"/>
      <c r="B18" s="381"/>
      <c r="C18" s="385"/>
      <c r="D18" s="383"/>
      <c r="F18" s="378" t="s">
        <v>136</v>
      </c>
      <c r="G18" s="379">
        <v>128</v>
      </c>
    </row>
    <row r="19" spans="1:7" hidden="1">
      <c r="A19" s="384"/>
      <c r="B19" s="381"/>
      <c r="C19" s="386"/>
      <c r="D19" s="383"/>
      <c r="F19" s="387" t="s">
        <v>151</v>
      </c>
      <c r="G19" s="388">
        <v>5</v>
      </c>
    </row>
    <row r="20" spans="1:7" hidden="1">
      <c r="A20" s="380"/>
      <c r="B20" s="381"/>
      <c r="C20" s="385"/>
      <c r="D20" s="383"/>
      <c r="F20" s="378" t="s">
        <v>139</v>
      </c>
      <c r="G20" s="379">
        <v>833</v>
      </c>
    </row>
    <row r="21" spans="1:7" hidden="1">
      <c r="A21" s="384"/>
      <c r="B21" s="381"/>
      <c r="C21" s="385"/>
      <c r="D21" s="383"/>
      <c r="F21" s="378" t="s">
        <v>140</v>
      </c>
      <c r="G21" s="379">
        <v>0</v>
      </c>
    </row>
    <row r="22" spans="1:7" hidden="1">
      <c r="A22" s="384"/>
      <c r="B22" s="381"/>
      <c r="C22" s="386"/>
      <c r="D22" s="383"/>
      <c r="F22" s="378" t="s">
        <v>141</v>
      </c>
      <c r="G22" s="379">
        <v>0</v>
      </c>
    </row>
    <row r="23" spans="1:7">
      <c r="A23" s="321" t="s">
        <v>12</v>
      </c>
      <c r="B23" s="389">
        <f>B15+B16</f>
        <v>417395.32799999998</v>
      </c>
      <c r="C23" s="390"/>
      <c r="D23" s="377"/>
      <c r="F23" s="378" t="s">
        <v>142</v>
      </c>
      <c r="G23" s="379">
        <v>1358.2</v>
      </c>
    </row>
    <row r="24" spans="1:7" ht="30">
      <c r="A24" s="391" t="s">
        <v>13</v>
      </c>
      <c r="B24" s="392">
        <f>B25+B26+B27+B28+B29+B30</f>
        <v>6839.76</v>
      </c>
      <c r="C24" s="390"/>
      <c r="D24" s="377"/>
      <c r="F24" s="378" t="s">
        <v>143</v>
      </c>
      <c r="G24" s="393">
        <v>2081.9</v>
      </c>
    </row>
    <row r="25" spans="1:7">
      <c r="A25" s="394" t="s">
        <v>14</v>
      </c>
      <c r="B25" s="395">
        <f>34.98*12</f>
        <v>419.76</v>
      </c>
      <c r="C25" s="390" t="s">
        <v>15</v>
      </c>
      <c r="D25" s="377" t="s">
        <v>85</v>
      </c>
      <c r="F25" s="378" t="s">
        <v>144</v>
      </c>
      <c r="G25" s="379">
        <v>0</v>
      </c>
    </row>
    <row r="26" spans="1:7">
      <c r="A26" s="394" t="s">
        <v>16</v>
      </c>
      <c r="B26" s="395">
        <f>137.5*12*0</f>
        <v>0</v>
      </c>
      <c r="C26" s="390" t="s">
        <v>17</v>
      </c>
      <c r="D26" s="377" t="s">
        <v>85</v>
      </c>
      <c r="F26" s="396" t="s">
        <v>145</v>
      </c>
      <c r="G26" s="397">
        <v>379.56</v>
      </c>
    </row>
    <row r="27" spans="1:7">
      <c r="A27" s="394" t="s">
        <v>18</v>
      </c>
      <c r="B27" s="395">
        <f>123.75*12</f>
        <v>1485</v>
      </c>
      <c r="C27" s="390" t="s">
        <v>19</v>
      </c>
      <c r="D27" s="377" t="s">
        <v>85</v>
      </c>
      <c r="F27" s="378" t="s">
        <v>460</v>
      </c>
      <c r="G27" s="379">
        <v>8.58</v>
      </c>
    </row>
    <row r="28" spans="1:7">
      <c r="A28" s="394" t="s">
        <v>20</v>
      </c>
      <c r="B28" s="395">
        <f>123.75*12</f>
        <v>1485</v>
      </c>
      <c r="C28" s="390" t="s">
        <v>19</v>
      </c>
      <c r="D28" s="377" t="s">
        <v>85</v>
      </c>
      <c r="F28" s="378" t="s">
        <v>461</v>
      </c>
      <c r="G28" s="379">
        <f>(G23/3+G24)/2920</f>
        <v>0.86802511415525108</v>
      </c>
    </row>
    <row r="29" spans="1:7">
      <c r="A29" s="394" t="s">
        <v>66</v>
      </c>
      <c r="B29" s="395">
        <f>150*12</f>
        <v>1800</v>
      </c>
      <c r="C29" s="390" t="s">
        <v>21</v>
      </c>
      <c r="D29" s="377" t="s">
        <v>85</v>
      </c>
      <c r="F29" s="378" t="s">
        <v>148</v>
      </c>
      <c r="G29" s="379">
        <v>0</v>
      </c>
    </row>
    <row r="30" spans="1:7">
      <c r="A30" s="394" t="s">
        <v>22</v>
      </c>
      <c r="B30" s="395">
        <f>137.5*12</f>
        <v>1650</v>
      </c>
      <c r="C30" s="390" t="s">
        <v>17</v>
      </c>
      <c r="D30" s="377" t="s">
        <v>85</v>
      </c>
      <c r="F30" s="378" t="s">
        <v>149</v>
      </c>
      <c r="G30" s="388">
        <v>0</v>
      </c>
    </row>
    <row r="31" spans="1:7">
      <c r="A31" s="391" t="s">
        <v>24</v>
      </c>
      <c r="B31" s="392">
        <v>0</v>
      </c>
      <c r="C31" s="398"/>
      <c r="D31" s="377"/>
      <c r="F31" s="387" t="s">
        <v>489</v>
      </c>
      <c r="G31" s="399">
        <v>2</v>
      </c>
    </row>
    <row r="32" spans="1:7">
      <c r="A32" s="400" t="s">
        <v>26</v>
      </c>
      <c r="B32" s="401">
        <f>B23+B24+B31</f>
        <v>424235.08799999999</v>
      </c>
      <c r="C32" s="398"/>
      <c r="D32" s="377"/>
      <c r="F32" s="387" t="s">
        <v>462</v>
      </c>
      <c r="G32" s="388">
        <v>646.1</v>
      </c>
    </row>
    <row r="33" spans="1:7">
      <c r="A33" s="402" t="s">
        <v>27</v>
      </c>
      <c r="B33" s="403" t="s">
        <v>5</v>
      </c>
      <c r="C33" s="404" t="s">
        <v>28</v>
      </c>
      <c r="D33" s="377"/>
      <c r="F33" s="405" t="s">
        <v>464</v>
      </c>
      <c r="G33" s="388">
        <v>9304</v>
      </c>
    </row>
    <row r="34" spans="1:7">
      <c r="A34" s="406" t="s">
        <v>29</v>
      </c>
      <c r="B34" s="407"/>
      <c r="C34" s="408"/>
      <c r="D34" s="377"/>
      <c r="F34" s="387" t="s">
        <v>490</v>
      </c>
      <c r="G34" s="388">
        <v>1</v>
      </c>
    </row>
    <row r="35" spans="1:7" ht="60">
      <c r="A35" s="409" t="s">
        <v>30</v>
      </c>
      <c r="B35" s="410">
        <f>(G28*(3708+200)*1.5*1.15*1.083*1.302*6)+(G28*(3856+200)*1.5*1.15*1.083*1.302*6)+(0.104*G23*12)</f>
        <v>102583.92098279139</v>
      </c>
      <c r="C35" s="411" t="s">
        <v>508</v>
      </c>
      <c r="D35" s="377" t="s">
        <v>86</v>
      </c>
      <c r="F35" s="387" t="s">
        <v>491</v>
      </c>
      <c r="G35" s="388">
        <v>0</v>
      </c>
    </row>
    <row r="36" spans="1:7" ht="30">
      <c r="A36" s="409" t="s">
        <v>31</v>
      </c>
      <c r="B36" s="412">
        <f>(G30*9921.13*6)+(G30*10317.11*6)</f>
        <v>0</v>
      </c>
      <c r="C36" s="344" t="s">
        <v>509</v>
      </c>
      <c r="D36" s="377"/>
    </row>
    <row r="37" spans="1:7" ht="45">
      <c r="A37" s="287" t="s">
        <v>32</v>
      </c>
      <c r="B37" s="455">
        <f>(G29*9921.13*6)+(G29*10317.11*6)+(G17*10.95538*12)*G22</f>
        <v>0</v>
      </c>
      <c r="C37" s="343" t="s">
        <v>507</v>
      </c>
      <c r="D37" s="377"/>
    </row>
    <row r="38" spans="1:7" s="415" customFormat="1">
      <c r="A38" s="409" t="s">
        <v>34</v>
      </c>
      <c r="B38" s="413">
        <f>(16.06+16.7)*G17</f>
        <v>1932.84</v>
      </c>
      <c r="C38" s="414" t="s">
        <v>492</v>
      </c>
      <c r="D38" s="377" t="s">
        <v>88</v>
      </c>
    </row>
    <row r="39" spans="1:7" ht="30">
      <c r="A39" s="409" t="s">
        <v>35</v>
      </c>
      <c r="B39" s="413">
        <f>(47.76+49.25)*2*G25</f>
        <v>0</v>
      </c>
      <c r="C39" s="414" t="s">
        <v>493</v>
      </c>
      <c r="D39" s="377"/>
    </row>
    <row r="40" spans="1:7">
      <c r="A40" s="409" t="s">
        <v>36</v>
      </c>
      <c r="B40" s="413">
        <f>0.25*G32*12</f>
        <v>1938.3000000000002</v>
      </c>
      <c r="C40" s="414" t="s">
        <v>494</v>
      </c>
      <c r="D40" s="377" t="s">
        <v>85</v>
      </c>
    </row>
    <row r="41" spans="1:7">
      <c r="A41" s="416" t="s">
        <v>37</v>
      </c>
      <c r="B41" s="413">
        <f>2.34*G32*4</f>
        <v>6047.4960000000001</v>
      </c>
      <c r="C41" s="414" t="s">
        <v>495</v>
      </c>
      <c r="D41" s="377" t="s">
        <v>89</v>
      </c>
    </row>
    <row r="42" spans="1:7" ht="30">
      <c r="A42" s="417" t="s">
        <v>67</v>
      </c>
      <c r="B42" s="381">
        <f>(635.59*6+661.01*6)*G34</f>
        <v>7779.6</v>
      </c>
      <c r="C42" s="385" t="s">
        <v>496</v>
      </c>
      <c r="D42" s="377" t="s">
        <v>85</v>
      </c>
    </row>
    <row r="43" spans="1:7" ht="30">
      <c r="A43" s="417" t="s">
        <v>190</v>
      </c>
      <c r="B43" s="418">
        <f>(466.1*6+484.74*6)*G35</f>
        <v>0</v>
      </c>
      <c r="C43" s="385" t="s">
        <v>497</v>
      </c>
      <c r="D43" s="377" t="s">
        <v>85</v>
      </c>
    </row>
    <row r="44" spans="1:7">
      <c r="A44" s="417" t="s">
        <v>158</v>
      </c>
      <c r="B44" s="427">
        <f>229.57*12</f>
        <v>2754.84</v>
      </c>
      <c r="C44" s="376" t="s">
        <v>762</v>
      </c>
      <c r="D44" s="425"/>
    </row>
    <row r="45" spans="1:7">
      <c r="A45" s="419" t="s">
        <v>47</v>
      </c>
      <c r="B45" s="420">
        <f>SUM(B35:B44)</f>
        <v>123036.99698279139</v>
      </c>
      <c r="C45" s="390"/>
      <c r="D45" s="377"/>
    </row>
    <row r="46" spans="1:7">
      <c r="A46" s="409" t="s">
        <v>48</v>
      </c>
      <c r="B46" s="395"/>
      <c r="C46" s="390"/>
      <c r="D46" s="377"/>
    </row>
    <row r="47" spans="1:7" ht="45">
      <c r="A47" s="421" t="s">
        <v>49</v>
      </c>
      <c r="B47" s="413">
        <f>(G27*100.2134*6)+(G27*104.2268)+(1.71*(B11+B12)*12)</f>
        <v>58075.555776000001</v>
      </c>
      <c r="C47" s="422" t="s">
        <v>498</v>
      </c>
      <c r="D47" s="423"/>
    </row>
    <row r="48" spans="1:7">
      <c r="A48" s="416" t="s">
        <v>50</v>
      </c>
      <c r="B48" s="407">
        <f>13.69*G20</f>
        <v>11403.77</v>
      </c>
      <c r="C48" s="424" t="s">
        <v>499</v>
      </c>
      <c r="D48" s="425" t="s">
        <v>90</v>
      </c>
    </row>
    <row r="49" spans="1:4" ht="120">
      <c r="A49" s="426" t="s">
        <v>120</v>
      </c>
      <c r="B49" s="427">
        <f>17.51*(B11+B12)</f>
        <v>44391.351999999999</v>
      </c>
      <c r="C49" s="428" t="s">
        <v>500</v>
      </c>
      <c r="D49" s="377"/>
    </row>
    <row r="50" spans="1:4" s="429" customFormat="1" ht="63">
      <c r="A50" s="456" t="s">
        <v>51</v>
      </c>
      <c r="B50" s="457">
        <f>(654.11+263.56/3)*G33/1000</f>
        <v>6903.2268533333336</v>
      </c>
      <c r="C50" s="458" t="s">
        <v>510</v>
      </c>
      <c r="D50" s="459" t="s">
        <v>91</v>
      </c>
    </row>
    <row r="51" spans="1:4" ht="60">
      <c r="A51" s="430" t="s">
        <v>52</v>
      </c>
      <c r="B51" s="431">
        <f>((G26/12*6*100.2134)+(G26/12*6*104.2268))+((G26/12*6*100.2134)+(G26/12*6*104.2268))/1.302*25%</f>
        <v>46248.480886414749</v>
      </c>
      <c r="C51" s="422" t="s">
        <v>511</v>
      </c>
      <c r="D51" s="377"/>
    </row>
    <row r="52" spans="1:4">
      <c r="A52" s="432" t="s">
        <v>53</v>
      </c>
      <c r="B52" s="401">
        <f>SUM(B47:B51)</f>
        <v>167022.38551574806</v>
      </c>
      <c r="C52" s="390"/>
      <c r="D52" s="377"/>
    </row>
    <row r="53" spans="1:4">
      <c r="A53" s="430" t="s">
        <v>54</v>
      </c>
      <c r="B53" s="395"/>
      <c r="C53" s="390"/>
      <c r="D53" s="377"/>
    </row>
    <row r="54" spans="1:4" s="415" customFormat="1">
      <c r="A54" s="433" t="s">
        <v>501</v>
      </c>
      <c r="B54" s="434"/>
      <c r="C54" s="435"/>
      <c r="D54" s="425"/>
    </row>
    <row r="55" spans="1:4">
      <c r="A55" s="430" t="s">
        <v>502</v>
      </c>
      <c r="B55" s="407"/>
      <c r="C55" s="436"/>
      <c r="D55" s="377"/>
    </row>
    <row r="56" spans="1:4">
      <c r="A56" s="430" t="s">
        <v>57</v>
      </c>
      <c r="B56" s="407"/>
      <c r="C56" s="436"/>
      <c r="D56" s="377"/>
    </row>
    <row r="57" spans="1:4">
      <c r="A57" s="430" t="s">
        <v>58</v>
      </c>
      <c r="B57" s="407"/>
      <c r="C57" s="436"/>
      <c r="D57" s="377"/>
    </row>
    <row r="58" spans="1:4">
      <c r="A58" s="430" t="s">
        <v>59</v>
      </c>
      <c r="B58" s="407"/>
      <c r="C58" s="436"/>
      <c r="D58" s="377"/>
    </row>
    <row r="59" spans="1:4">
      <c r="A59" s="432" t="s">
        <v>60</v>
      </c>
      <c r="B59" s="437">
        <f>SUM(B53:B58)</f>
        <v>0</v>
      </c>
      <c r="C59" s="436"/>
      <c r="D59" s="377"/>
    </row>
    <row r="60" spans="1:4">
      <c r="A60" s="438" t="s">
        <v>61</v>
      </c>
      <c r="B60" s="407">
        <f>3.051*(B11+B12)</f>
        <v>7734.8951999999999</v>
      </c>
      <c r="C60" s="539" t="s">
        <v>512</v>
      </c>
      <c r="D60" s="377"/>
    </row>
    <row r="61" spans="1:4">
      <c r="A61" s="439" t="s">
        <v>62</v>
      </c>
      <c r="B61" s="407">
        <f>1.54*(B11+B12)</f>
        <v>3904.2079999999996</v>
      </c>
      <c r="C61" s="540" t="s">
        <v>513</v>
      </c>
      <c r="D61" s="377"/>
    </row>
    <row r="62" spans="1:4">
      <c r="A62" s="394" t="s">
        <v>63</v>
      </c>
      <c r="B62" s="440">
        <f>(B45+B52)*0.348</f>
        <v>100940.66510949173</v>
      </c>
      <c r="C62" s="381" t="s">
        <v>514</v>
      </c>
      <c r="D62" s="377"/>
    </row>
    <row r="63" spans="1:4" ht="30">
      <c r="A63" s="394" t="s">
        <v>121</v>
      </c>
      <c r="B63" s="407">
        <f>(B45+B52+B59+B62)*0.132</f>
        <v>51612.006284260118</v>
      </c>
      <c r="C63" s="436" t="s">
        <v>503</v>
      </c>
      <c r="D63" s="377" t="s">
        <v>85</v>
      </c>
    </row>
    <row r="64" spans="1:4">
      <c r="A64" s="441" t="s">
        <v>122</v>
      </c>
      <c r="B64" s="437">
        <f>B60+B61+B62+B63</f>
        <v>164191.77459375185</v>
      </c>
      <c r="C64" s="436"/>
      <c r="D64" s="377"/>
    </row>
    <row r="65" spans="1:4">
      <c r="A65" s="394" t="s">
        <v>64</v>
      </c>
      <c r="B65" s="407">
        <f>(B45+B52+B59+B64)*3%</f>
        <v>13627.534712768738</v>
      </c>
      <c r="C65" s="436"/>
      <c r="D65" s="377"/>
    </row>
    <row r="66" spans="1:4">
      <c r="A66" s="441" t="s">
        <v>26</v>
      </c>
      <c r="B66" s="442">
        <f>B45+B52+B59+B64+B65</f>
        <v>467878.69180506002</v>
      </c>
      <c r="C66" s="443"/>
      <c r="D66" s="377"/>
    </row>
    <row r="67" spans="1:4">
      <c r="A67" s="441" t="s">
        <v>475</v>
      </c>
      <c r="B67" s="442">
        <f>B66*1.2</f>
        <v>561454.43016607198</v>
      </c>
      <c r="C67" s="443"/>
      <c r="D67" s="377"/>
    </row>
    <row r="68" spans="1:4">
      <c r="A68" s="438"/>
      <c r="B68" s="437">
        <f>B32-B67</f>
        <v>-137219.34216607199</v>
      </c>
      <c r="C68" s="444"/>
      <c r="D68" s="377"/>
    </row>
    <row r="69" spans="1:4" ht="30">
      <c r="A69" s="445" t="s">
        <v>123</v>
      </c>
      <c r="B69" s="446">
        <f>B67/(B11+B12)/12</f>
        <v>18.455297089186654</v>
      </c>
      <c r="C69" s="447" t="s">
        <v>504</v>
      </c>
      <c r="D69" s="448"/>
    </row>
    <row r="70" spans="1:4">
      <c r="A70" s="449"/>
      <c r="B70" s="450"/>
      <c r="C70" s="451"/>
      <c r="D70" s="452"/>
    </row>
    <row r="71" spans="1:4">
      <c r="A71" s="799" t="s">
        <v>124</v>
      </c>
      <c r="B71" s="799"/>
      <c r="C71" s="799"/>
    </row>
    <row r="72" spans="1:4" ht="27.75" customHeight="1">
      <c r="A72" s="800" t="s">
        <v>518</v>
      </c>
      <c r="B72" s="800"/>
      <c r="C72" s="800"/>
    </row>
    <row r="73" spans="1:4" ht="27.75" customHeight="1">
      <c r="A73" s="800" t="s">
        <v>519</v>
      </c>
      <c r="B73" s="800"/>
      <c r="C73" s="800"/>
    </row>
    <row r="74" spans="1:4">
      <c r="A74" s="160"/>
      <c r="B74" s="453"/>
      <c r="C74" s="193"/>
    </row>
    <row r="75" spans="1:4">
      <c r="A75" s="797" t="s">
        <v>505</v>
      </c>
      <c r="B75" s="797"/>
      <c r="C75" s="797"/>
    </row>
    <row r="76" spans="1:4">
      <c r="A76" s="193"/>
      <c r="B76" s="193"/>
      <c r="C76" s="193"/>
    </row>
    <row r="79" spans="1:4" s="66" customFormat="1"/>
    <row r="80" spans="1:4" s="66" customFormat="1"/>
    <row r="81" s="66" customFormat="1"/>
    <row r="82" s="66" customFormat="1"/>
    <row r="83" s="66" customFormat="1"/>
    <row r="84" s="66" customFormat="1"/>
    <row r="85" s="66" customFormat="1"/>
    <row r="86" s="66" customFormat="1"/>
  </sheetData>
  <mergeCells count="6">
    <mergeCell ref="A75:C75"/>
    <mergeCell ref="A7:D7"/>
    <mergeCell ref="A8:D9"/>
    <mergeCell ref="A71:C71"/>
    <mergeCell ref="A72:C72"/>
    <mergeCell ref="A73:C73"/>
  </mergeCells>
  <pageMargins left="0.51181102362204722" right="0.11811023622047244" top="0.15748031496062992" bottom="0.15748031496062992" header="0.31496062992125984" footer="0.31496062992125984"/>
  <pageSetup paperSize="9" scale="75" orientation="portrait" horizontalDpi="0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G71"/>
  <sheetViews>
    <sheetView topLeftCell="A29" workbookViewId="0">
      <selection activeCell="E29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2.42578125" style="466" hidden="1" customWidth="1"/>
    <col min="6" max="6" width="26.7109375" style="162" hidden="1" customWidth="1"/>
    <col min="7" max="7" width="9.285156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575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2579.1</v>
      </c>
      <c r="C11" s="76" t="s">
        <v>527</v>
      </c>
    </row>
    <row r="12" spans="1:7" s="469" customFormat="1" ht="15.75">
      <c r="A12" s="77" t="s">
        <v>3</v>
      </c>
      <c r="B12" s="573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13.47</v>
      </c>
    </row>
    <row r="15" spans="1:7">
      <c r="A15" s="474" t="s">
        <v>7</v>
      </c>
      <c r="B15" s="475">
        <f>B11*G14*12</f>
        <v>416885.72399999999</v>
      </c>
      <c r="C15" s="476" t="s">
        <v>576</v>
      </c>
      <c r="D15" s="477" t="s">
        <v>85</v>
      </c>
      <c r="F15" s="259" t="s">
        <v>134</v>
      </c>
      <c r="G15" s="260">
        <v>2579.1</v>
      </c>
    </row>
    <row r="16" spans="1:7">
      <c r="A16" s="474" t="s">
        <v>9</v>
      </c>
      <c r="B16" s="478">
        <f>B12</f>
        <v>0</v>
      </c>
      <c r="C16" s="481"/>
      <c r="D16" s="477"/>
      <c r="F16" s="259" t="s">
        <v>135</v>
      </c>
      <c r="G16" s="260">
        <v>60</v>
      </c>
    </row>
    <row r="17" spans="1:7" ht="15.75">
      <c r="A17" s="543" t="s">
        <v>12</v>
      </c>
      <c r="B17" s="544">
        <f>B15+B16</f>
        <v>416885.72399999999</v>
      </c>
      <c r="C17" s="545"/>
      <c r="D17" s="477"/>
      <c r="E17" s="162"/>
      <c r="F17" s="259" t="s">
        <v>136</v>
      </c>
      <c r="G17" s="260">
        <v>144</v>
      </c>
    </row>
    <row r="18" spans="1:7">
      <c r="A18" s="546" t="s">
        <v>13</v>
      </c>
      <c r="B18" s="478">
        <f>B19+B20+B21+B22+B23+B24</f>
        <v>6839.76</v>
      </c>
      <c r="C18" s="545"/>
      <c r="D18" s="477"/>
      <c r="F18" s="247" t="s">
        <v>459</v>
      </c>
      <c r="G18" s="248">
        <v>0</v>
      </c>
    </row>
    <row r="19" spans="1:7">
      <c r="A19" s="476" t="s">
        <v>14</v>
      </c>
      <c r="B19" s="478">
        <f>34.98*12</f>
        <v>419.76</v>
      </c>
      <c r="C19" s="545" t="s">
        <v>15</v>
      </c>
      <c r="D19" s="477" t="s">
        <v>85</v>
      </c>
      <c r="F19" s="259" t="s">
        <v>139</v>
      </c>
      <c r="G19" s="260">
        <v>833.5</v>
      </c>
    </row>
    <row r="20" spans="1:7">
      <c r="A20" s="476" t="s">
        <v>16</v>
      </c>
      <c r="B20" s="478">
        <f>137.5*12*0</f>
        <v>0</v>
      </c>
      <c r="C20" s="545" t="s">
        <v>17</v>
      </c>
      <c r="D20" s="477" t="s">
        <v>85</v>
      </c>
      <c r="F20" s="259" t="s">
        <v>140</v>
      </c>
      <c r="G20" s="260">
        <v>0</v>
      </c>
    </row>
    <row r="21" spans="1:7">
      <c r="A21" s="541" t="s">
        <v>18</v>
      </c>
      <c r="B21" s="172">
        <f>123.75*12</f>
        <v>1485</v>
      </c>
      <c r="C21" s="542" t="s">
        <v>19</v>
      </c>
      <c r="D21" s="477" t="s">
        <v>85</v>
      </c>
      <c r="F21" s="259" t="s">
        <v>141</v>
      </c>
      <c r="G21" s="260">
        <v>0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1180.2</v>
      </c>
    </row>
    <row r="23" spans="1:7">
      <c r="A23" s="488" t="s">
        <v>66</v>
      </c>
      <c r="B23" s="487">
        <f>150*12</f>
        <v>1800</v>
      </c>
      <c r="C23" s="485" t="s">
        <v>21</v>
      </c>
      <c r="D23" s="477" t="s">
        <v>85</v>
      </c>
      <c r="F23" s="259" t="s">
        <v>143</v>
      </c>
      <c r="G23" s="277">
        <v>2292.3000000000002</v>
      </c>
    </row>
    <row r="24" spans="1:7">
      <c r="A24" s="488" t="s">
        <v>22</v>
      </c>
      <c r="B24" s="487">
        <f>137.5*12</f>
        <v>1650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379.91</v>
      </c>
    </row>
    <row r="26" spans="1:7" ht="18.75">
      <c r="A26" s="491" t="s">
        <v>26</v>
      </c>
      <c r="B26" s="492">
        <f>B17+B18+B25</f>
        <v>423725.484</v>
      </c>
      <c r="C26" s="489"/>
      <c r="D26" s="490"/>
      <c r="F26" s="259" t="s">
        <v>460</v>
      </c>
      <c r="G26" s="278">
        <v>8.57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0.91976027397260285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v>0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106388.22879994956</v>
      </c>
      <c r="C29" s="341" t="s">
        <v>769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5</v>
      </c>
    </row>
    <row r="31" spans="1:7" ht="45">
      <c r="A31" s="287" t="s">
        <v>32</v>
      </c>
      <c r="B31" s="498">
        <f>(G28*9921.13*6)+(G28*10317.11*6)+(G16*10.41812*12)*G21</f>
        <v>0</v>
      </c>
      <c r="C31" s="344" t="s">
        <v>770</v>
      </c>
      <c r="D31" s="258"/>
      <c r="F31" s="247" t="s">
        <v>462</v>
      </c>
      <c r="G31" s="279">
        <v>643.20000000000005</v>
      </c>
    </row>
    <row r="32" spans="1:7">
      <c r="A32" s="287" t="s">
        <v>34</v>
      </c>
      <c r="B32" s="345">
        <f>(16.06+16.7)*G16</f>
        <v>1965.6</v>
      </c>
      <c r="C32" s="346" t="s">
        <v>771</v>
      </c>
      <c r="D32" s="258" t="s">
        <v>88</v>
      </c>
      <c r="F32" s="285" t="s">
        <v>463</v>
      </c>
      <c r="G32" s="286">
        <v>643.20000000000005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8788</v>
      </c>
    </row>
    <row r="34" spans="1:7">
      <c r="A34" s="287" t="s">
        <v>36</v>
      </c>
      <c r="B34" s="347">
        <f>0.25*G31*12</f>
        <v>1929.6000000000001</v>
      </c>
      <c r="C34" s="348" t="s">
        <v>772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554">
        <f>2.34*G31*4</f>
        <v>6020.3519999999999</v>
      </c>
      <c r="C35" s="251" t="s">
        <v>773</v>
      </c>
      <c r="D35" s="258" t="s">
        <v>89</v>
      </c>
      <c r="F35" s="247" t="s">
        <v>467</v>
      </c>
      <c r="G35" s="279">
        <v>2</v>
      </c>
    </row>
    <row r="36" spans="1:7">
      <c r="A36" s="417" t="s">
        <v>158</v>
      </c>
      <c r="B36" s="427">
        <f>243.36*12</f>
        <v>2920.32</v>
      </c>
      <c r="C36" s="394" t="s">
        <v>768</v>
      </c>
      <c r="D36" s="377"/>
      <c r="F36" s="552"/>
      <c r="G36" s="553"/>
    </row>
    <row r="37" spans="1:7" ht="30">
      <c r="A37" s="417" t="s">
        <v>67</v>
      </c>
      <c r="B37" s="381">
        <f>(635.59*6+661.01*6)*G34</f>
        <v>7779.6</v>
      </c>
      <c r="C37" s="385" t="s">
        <v>496</v>
      </c>
      <c r="D37" s="377" t="s">
        <v>85</v>
      </c>
    </row>
    <row r="38" spans="1:7" ht="30">
      <c r="A38" s="417" t="s">
        <v>190</v>
      </c>
      <c r="B38" s="418">
        <f>(466.1*6+484.74*6)*G18</f>
        <v>0</v>
      </c>
      <c r="C38" s="385" t="s">
        <v>497</v>
      </c>
      <c r="D38" s="377" t="s">
        <v>85</v>
      </c>
    </row>
    <row r="39" spans="1:7" ht="15.75">
      <c r="A39" s="507" t="s">
        <v>47</v>
      </c>
      <c r="B39" s="492">
        <f>SUM(B29:B38)</f>
        <v>127003.70079994958</v>
      </c>
      <c r="C39" s="509"/>
      <c r="D39" s="477"/>
    </row>
    <row r="40" spans="1:7" s="111" customFormat="1" ht="12.75">
      <c r="A40" s="496" t="s">
        <v>48</v>
      </c>
      <c r="B40" s="487"/>
      <c r="C40" s="485"/>
      <c r="D40" s="477"/>
      <c r="E40" s="513"/>
    </row>
    <row r="41" spans="1:7" ht="45">
      <c r="A41" s="421" t="s">
        <v>49</v>
      </c>
      <c r="B41" s="413">
        <f>(G26*100.2134*6)+(G26*104.2268)+(1.71*(B12+B11)*12)</f>
        <v>58969.328704</v>
      </c>
      <c r="C41" s="422" t="s">
        <v>774</v>
      </c>
      <c r="D41" s="423"/>
    </row>
    <row r="42" spans="1:7" ht="120">
      <c r="A42" s="426" t="s">
        <v>120</v>
      </c>
      <c r="B42" s="427">
        <f>17.51*(B12+B11)</f>
        <v>45160.041000000005</v>
      </c>
      <c r="C42" s="428" t="s">
        <v>775</v>
      </c>
      <c r="D42" s="377"/>
    </row>
    <row r="43" spans="1:7" ht="63">
      <c r="A43" s="456" t="s">
        <v>51</v>
      </c>
      <c r="B43" s="457">
        <f>(654.11+263.56/3)*G33/1000</f>
        <v>6520.3737733333337</v>
      </c>
      <c r="C43" s="458" t="s">
        <v>778</v>
      </c>
      <c r="D43" s="459" t="s">
        <v>91</v>
      </c>
    </row>
    <row r="44" spans="1:7" ht="60">
      <c r="A44" s="430" t="s">
        <v>52</v>
      </c>
      <c r="B44" s="431">
        <f>((G25/12*6*100.2134)+(G25/12*6*104.2268))+((G25/12*6*100.2134)+(G25/12*6*104.2268))/1.302*25%</f>
        <v>46291.127551791091</v>
      </c>
      <c r="C44" s="422" t="s">
        <v>779</v>
      </c>
      <c r="D44" s="377"/>
    </row>
    <row r="45" spans="1:7" ht="15.75">
      <c r="A45" s="515" t="s">
        <v>53</v>
      </c>
      <c r="B45" s="492">
        <f>SUM(B40:B44)</f>
        <v>156940.87102912445</v>
      </c>
      <c r="C45" s="509"/>
      <c r="D45" s="477"/>
    </row>
    <row r="46" spans="1:7">
      <c r="A46" s="514" t="s">
        <v>54</v>
      </c>
      <c r="B46" s="487"/>
      <c r="C46" s="485"/>
      <c r="D46" s="477"/>
    </row>
    <row r="47" spans="1:7" s="105" customFormat="1" ht="12.75">
      <c r="A47" s="118" t="s">
        <v>501</v>
      </c>
      <c r="B47" s="201"/>
      <c r="C47" s="516"/>
      <c r="D47" s="477"/>
      <c r="E47" s="499"/>
    </row>
    <row r="48" spans="1:7">
      <c r="A48" s="514" t="s">
        <v>502</v>
      </c>
      <c r="B48" s="487"/>
      <c r="C48" s="517"/>
      <c r="D48" s="477"/>
    </row>
    <row r="49" spans="1:4">
      <c r="A49" s="514" t="s">
        <v>57</v>
      </c>
      <c r="B49" s="487"/>
      <c r="C49" s="517"/>
      <c r="D49" s="477"/>
    </row>
    <row r="50" spans="1:4">
      <c r="A50" s="514" t="s">
        <v>58</v>
      </c>
      <c r="B50" s="487"/>
      <c r="C50" s="517"/>
      <c r="D50" s="477"/>
    </row>
    <row r="51" spans="1:4">
      <c r="A51" s="514" t="s">
        <v>59</v>
      </c>
      <c r="B51" s="487"/>
      <c r="C51" s="517"/>
      <c r="D51" s="477"/>
    </row>
    <row r="52" spans="1:4" ht="15.75">
      <c r="A52" s="515" t="s">
        <v>60</v>
      </c>
      <c r="B52" s="492">
        <f>B47+B48</f>
        <v>0</v>
      </c>
      <c r="C52" s="518"/>
      <c r="D52" s="477"/>
    </row>
    <row r="53" spans="1:4">
      <c r="A53" s="519" t="s">
        <v>61</v>
      </c>
      <c r="B53" s="407">
        <f>3.051*(B12+B11)</f>
        <v>7868.8341</v>
      </c>
      <c r="C53" s="539" t="s">
        <v>776</v>
      </c>
      <c r="D53" s="477"/>
    </row>
    <row r="54" spans="1:4">
      <c r="A54" s="520" t="s">
        <v>62</v>
      </c>
      <c r="B54" s="407">
        <f>1.54*(B12+B11)</f>
        <v>3971.8139999999999</v>
      </c>
      <c r="C54" s="540" t="s">
        <v>777</v>
      </c>
      <c r="D54" s="477"/>
    </row>
    <row r="55" spans="1:4">
      <c r="A55" s="488" t="s">
        <v>63</v>
      </c>
      <c r="B55" s="440">
        <f>(B39+B45)*0.348</f>
        <v>98812.710996517766</v>
      </c>
      <c r="C55" s="381" t="s">
        <v>514</v>
      </c>
      <c r="D55" s="477"/>
    </row>
    <row r="56" spans="1:4" ht="25.5">
      <c r="A56" s="488" t="s">
        <v>121</v>
      </c>
      <c r="B56" s="487">
        <f>(B39+B45+B52+B55)*0.132</f>
        <v>50523.961332978128</v>
      </c>
      <c r="C56" s="517" t="s">
        <v>503</v>
      </c>
      <c r="D56" s="477" t="s">
        <v>85</v>
      </c>
    </row>
    <row r="57" spans="1:4" ht="15.75">
      <c r="A57" s="441" t="s">
        <v>122</v>
      </c>
      <c r="B57" s="492">
        <f>B53+B54+B55+B56</f>
        <v>161177.32042949589</v>
      </c>
      <c r="C57" s="518"/>
      <c r="D57" s="477"/>
    </row>
    <row r="58" spans="1:4">
      <c r="A58" s="488" t="s">
        <v>64</v>
      </c>
      <c r="B58" s="487">
        <f>(B39+B45+B52+B57)*3%</f>
        <v>13353.656767757098</v>
      </c>
      <c r="C58" s="517"/>
      <c r="D58" s="477"/>
    </row>
    <row r="59" spans="1:4" ht="15.75">
      <c r="A59" s="522" t="s">
        <v>26</v>
      </c>
      <c r="B59" s="537">
        <f>B39+B45+B52+B57+B58</f>
        <v>458475.54902632703</v>
      </c>
      <c r="C59" s="524"/>
      <c r="D59" s="477"/>
    </row>
    <row r="60" spans="1:4" ht="15.75">
      <c r="A60" s="522" t="s">
        <v>65</v>
      </c>
      <c r="B60" s="537">
        <f>B59*1.2</f>
        <v>550170.65883159242</v>
      </c>
      <c r="C60" s="524"/>
      <c r="D60" s="477"/>
    </row>
    <row r="61" spans="1:4" ht="15.75">
      <c r="A61" s="525"/>
      <c r="B61" s="492">
        <f>B26-B60</f>
        <v>-126445.17483159242</v>
      </c>
      <c r="C61" s="526"/>
      <c r="D61" s="477"/>
    </row>
    <row r="62" spans="1:4" ht="30">
      <c r="A62" s="527" t="s">
        <v>123</v>
      </c>
      <c r="B62" s="528">
        <f>B60/(B11+B12)/12</f>
        <v>17.776571246804195</v>
      </c>
      <c r="C62" s="529" t="s">
        <v>577</v>
      </c>
      <c r="D62" s="530"/>
    </row>
    <row r="63" spans="1:4">
      <c r="A63" s="531"/>
      <c r="B63" s="532"/>
      <c r="C63" s="533"/>
      <c r="D63" s="534"/>
    </row>
    <row r="64" spans="1:4" ht="15" customHeight="1">
      <c r="A64" s="799" t="s">
        <v>124</v>
      </c>
      <c r="B64" s="799"/>
      <c r="C64" s="799"/>
      <c r="D64" s="205"/>
    </row>
    <row r="65" spans="1:4" ht="30" customHeight="1">
      <c r="A65" s="800" t="s">
        <v>518</v>
      </c>
      <c r="B65" s="800"/>
      <c r="C65" s="800"/>
      <c r="D65" s="205"/>
    </row>
    <row r="66" spans="1:4" ht="27.75" customHeight="1">
      <c r="A66" s="800" t="s">
        <v>519</v>
      </c>
      <c r="B66" s="800"/>
      <c r="C66" s="800"/>
      <c r="D66" s="205"/>
    </row>
    <row r="67" spans="1:4" ht="25.5" customHeight="1">
      <c r="A67" s="160"/>
      <c r="B67" s="453"/>
      <c r="D67" s="205"/>
    </row>
    <row r="68" spans="1:4">
      <c r="A68" s="797" t="s">
        <v>505</v>
      </c>
      <c r="B68" s="797"/>
      <c r="C68" s="797"/>
      <c r="D68" s="205"/>
    </row>
    <row r="69" spans="1:4">
      <c r="D69" s="205"/>
    </row>
    <row r="70" spans="1:4">
      <c r="A70" s="66"/>
      <c r="B70" s="66"/>
      <c r="C70" s="66"/>
    </row>
    <row r="71" spans="1:4" ht="18.75">
      <c r="A71" s="170"/>
      <c r="B71" s="170"/>
      <c r="C71" s="170"/>
    </row>
  </sheetData>
  <mergeCells count="6">
    <mergeCell ref="A68:C68"/>
    <mergeCell ref="A7:D7"/>
    <mergeCell ref="A8:D9"/>
    <mergeCell ref="A64:C64"/>
    <mergeCell ref="A65:C65"/>
    <mergeCell ref="A66:C66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H75"/>
  <sheetViews>
    <sheetView topLeftCell="A7" workbookViewId="0">
      <selection activeCell="E2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40.85546875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8.42578125" style="162" hidden="1" customWidth="1"/>
    <col min="8" max="8" width="10.140625" style="162" bestFit="1" customWidth="1"/>
    <col min="9" max="16384" width="9.140625" style="162"/>
  </cols>
  <sheetData>
    <row r="1" spans="1:7" ht="15.75">
      <c r="C1" s="465" t="s">
        <v>0</v>
      </c>
      <c r="D1" s="194"/>
      <c r="F1" s="500"/>
      <c r="G1" s="500"/>
    </row>
    <row r="2" spans="1:7" ht="15.75">
      <c r="C2" s="465" t="s">
        <v>216</v>
      </c>
      <c r="D2" s="194"/>
      <c r="F2" s="500"/>
      <c r="G2" s="500"/>
    </row>
    <row r="3" spans="1:7" ht="15.75">
      <c r="C3" s="465" t="s">
        <v>189</v>
      </c>
      <c r="D3" s="194"/>
      <c r="F3" s="574"/>
      <c r="G3" s="500"/>
    </row>
    <row r="4" spans="1:7" ht="15.75">
      <c r="C4" s="465"/>
      <c r="D4" s="194"/>
      <c r="F4" s="574"/>
      <c r="G4" s="500"/>
    </row>
    <row r="5" spans="1:7" ht="15.75">
      <c r="C5" s="465" t="s">
        <v>217</v>
      </c>
      <c r="D5" s="194"/>
      <c r="F5" s="574"/>
      <c r="G5" s="500"/>
    </row>
    <row r="6" spans="1:7" ht="30" customHeight="1">
      <c r="C6" s="70"/>
      <c r="F6" s="574"/>
      <c r="G6" s="500"/>
    </row>
    <row r="7" spans="1:7" ht="32.25" customHeight="1">
      <c r="A7" s="798" t="s">
        <v>478</v>
      </c>
      <c r="B7" s="798"/>
      <c r="C7" s="798"/>
      <c r="D7" s="798"/>
      <c r="F7" s="500"/>
      <c r="G7" s="500"/>
    </row>
    <row r="8" spans="1:7" ht="15" customHeight="1">
      <c r="A8" s="798" t="s">
        <v>578</v>
      </c>
      <c r="B8" s="798"/>
      <c r="C8" s="798"/>
      <c r="D8" s="798"/>
      <c r="F8" s="574"/>
      <c r="G8" s="500"/>
    </row>
    <row r="9" spans="1:7" ht="15" customHeight="1">
      <c r="A9" s="798"/>
      <c r="B9" s="798"/>
      <c r="C9" s="798"/>
      <c r="D9" s="798"/>
      <c r="F9" s="574"/>
      <c r="G9" s="500"/>
    </row>
    <row r="10" spans="1:7" ht="15.75">
      <c r="A10" s="73"/>
      <c r="B10" s="73"/>
      <c r="C10" s="73"/>
      <c r="F10" s="574"/>
      <c r="G10" s="500"/>
    </row>
    <row r="11" spans="1:7" ht="15.75">
      <c r="A11" s="74" t="s">
        <v>2</v>
      </c>
      <c r="B11" s="454">
        <f>G19</f>
        <v>2852.7</v>
      </c>
      <c r="C11" s="76" t="s">
        <v>527</v>
      </c>
      <c r="F11" s="574"/>
      <c r="G11" s="500"/>
    </row>
    <row r="12" spans="1:7" s="469" customFormat="1" ht="15.75">
      <c r="A12" s="77" t="s">
        <v>3</v>
      </c>
      <c r="B12" s="573">
        <f>702.8+44.3</f>
        <v>747.09999999999991</v>
      </c>
      <c r="C12" s="79"/>
      <c r="E12" s="470"/>
      <c r="F12" s="575"/>
      <c r="G12" s="575"/>
    </row>
    <row r="13" spans="1:7" s="469" customFormat="1" ht="15.75">
      <c r="A13" s="77"/>
      <c r="B13" s="195"/>
      <c r="C13" s="79"/>
      <c r="E13" s="470"/>
      <c r="F13" s="574"/>
      <c r="G13" s="575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500"/>
    </row>
    <row r="15" spans="1:7">
      <c r="A15" s="474" t="s">
        <v>7</v>
      </c>
      <c r="B15" s="475">
        <f>B11*G18*12</f>
        <v>450840.70799999993</v>
      </c>
      <c r="C15" s="481" t="s">
        <v>579</v>
      </c>
      <c r="D15" s="477" t="s">
        <v>85</v>
      </c>
      <c r="F15" s="500"/>
    </row>
    <row r="16" spans="1:7">
      <c r="A16" s="85" t="s">
        <v>9</v>
      </c>
      <c r="B16" s="201">
        <f>B17+B19</f>
        <v>132953.916</v>
      </c>
      <c r="C16" s="503"/>
      <c r="D16" s="477"/>
      <c r="F16" s="500"/>
    </row>
    <row r="17" spans="1:7" ht="42.75">
      <c r="A17" s="484" t="s">
        <v>580</v>
      </c>
      <c r="B17" s="482">
        <f>B18</f>
        <v>125070.288</v>
      </c>
      <c r="C17" s="481"/>
      <c r="D17" s="483"/>
      <c r="F17" s="500"/>
    </row>
    <row r="18" spans="1:7">
      <c r="A18" s="394" t="s">
        <v>10</v>
      </c>
      <c r="B18" s="482">
        <f>702.8*14.83*12</f>
        <v>125070.288</v>
      </c>
      <c r="C18" s="481" t="s">
        <v>581</v>
      </c>
      <c r="D18" s="483"/>
      <c r="F18" s="253" t="s">
        <v>132</v>
      </c>
      <c r="G18" s="254">
        <v>13.17</v>
      </c>
    </row>
    <row r="19" spans="1:7" ht="28.5">
      <c r="A19" s="484" t="s">
        <v>582</v>
      </c>
      <c r="B19" s="482">
        <f>B20</f>
        <v>7883.6279999999988</v>
      </c>
      <c r="C19" s="481"/>
      <c r="D19" s="483"/>
      <c r="F19" s="259" t="s">
        <v>134</v>
      </c>
      <c r="G19" s="260">
        <v>2852.7</v>
      </c>
    </row>
    <row r="20" spans="1:7">
      <c r="A20" s="394" t="s">
        <v>10</v>
      </c>
      <c r="B20" s="482">
        <f>44.3*14.83*12</f>
        <v>7883.6279999999988</v>
      </c>
      <c r="C20" s="481" t="s">
        <v>583</v>
      </c>
      <c r="D20" s="483"/>
      <c r="F20" s="259" t="s">
        <v>135</v>
      </c>
      <c r="G20" s="260">
        <v>64</v>
      </c>
    </row>
    <row r="21" spans="1:7" ht="15.75">
      <c r="A21" s="95" t="s">
        <v>12</v>
      </c>
      <c r="B21" s="538">
        <f>B15+B16</f>
        <v>583794.62399999995</v>
      </c>
      <c r="C21" s="485"/>
      <c r="D21" s="477"/>
      <c r="E21" s="162"/>
      <c r="F21" s="259" t="s">
        <v>136</v>
      </c>
      <c r="G21" s="260">
        <v>175</v>
      </c>
    </row>
    <row r="22" spans="1:7">
      <c r="A22" s="486" t="s">
        <v>13</v>
      </c>
      <c r="B22" s="487">
        <f>B23+B24+B25+B26+B27+B28</f>
        <v>6839.76</v>
      </c>
      <c r="C22" s="485"/>
      <c r="D22" s="477"/>
      <c r="F22" s="247" t="s">
        <v>459</v>
      </c>
      <c r="G22" s="248">
        <v>0</v>
      </c>
    </row>
    <row r="23" spans="1:7">
      <c r="A23" s="488" t="s">
        <v>14</v>
      </c>
      <c r="B23" s="487">
        <f>34.98*12</f>
        <v>419.76</v>
      </c>
      <c r="C23" s="485" t="s">
        <v>15</v>
      </c>
      <c r="D23" s="477" t="s">
        <v>85</v>
      </c>
      <c r="F23" s="259" t="s">
        <v>139</v>
      </c>
      <c r="G23" s="260">
        <v>1144</v>
      </c>
    </row>
    <row r="24" spans="1:7">
      <c r="A24" s="488" t="s">
        <v>16</v>
      </c>
      <c r="B24" s="487">
        <f>137.5*12*0</f>
        <v>0</v>
      </c>
      <c r="C24" s="485" t="s">
        <v>17</v>
      </c>
      <c r="D24" s="477" t="s">
        <v>85</v>
      </c>
      <c r="F24" s="259" t="s">
        <v>140</v>
      </c>
      <c r="G24" s="260">
        <v>0</v>
      </c>
    </row>
    <row r="25" spans="1:7">
      <c r="A25" s="488" t="s">
        <v>18</v>
      </c>
      <c r="B25" s="487">
        <f>123.75*12</f>
        <v>1485</v>
      </c>
      <c r="C25" s="485" t="s">
        <v>19</v>
      </c>
      <c r="D25" s="477" t="s">
        <v>85</v>
      </c>
      <c r="F25" s="259" t="s">
        <v>141</v>
      </c>
      <c r="G25" s="260">
        <v>0</v>
      </c>
    </row>
    <row r="26" spans="1:7">
      <c r="A26" s="488" t="s">
        <v>20</v>
      </c>
      <c r="B26" s="487">
        <f>123.75*12</f>
        <v>1485</v>
      </c>
      <c r="C26" s="485" t="s">
        <v>19</v>
      </c>
      <c r="D26" s="477" t="s">
        <v>85</v>
      </c>
      <c r="F26" s="259" t="s">
        <v>142</v>
      </c>
      <c r="G26" s="260">
        <v>1381.4</v>
      </c>
    </row>
    <row r="27" spans="1:7">
      <c r="A27" s="488" t="s">
        <v>66</v>
      </c>
      <c r="B27" s="487">
        <f>150*12</f>
        <v>1800</v>
      </c>
      <c r="C27" s="485" t="s">
        <v>21</v>
      </c>
      <c r="D27" s="477" t="s">
        <v>85</v>
      </c>
      <c r="F27" s="259" t="s">
        <v>143</v>
      </c>
      <c r="G27" s="277">
        <v>1544.8</v>
      </c>
    </row>
    <row r="28" spans="1:7">
      <c r="A28" s="488" t="s">
        <v>22</v>
      </c>
      <c r="B28" s="487">
        <f>137.5*12</f>
        <v>1650</v>
      </c>
      <c r="C28" s="485" t="s">
        <v>17</v>
      </c>
      <c r="D28" s="477" t="s">
        <v>85</v>
      </c>
      <c r="F28" s="259" t="s">
        <v>144</v>
      </c>
      <c r="G28" s="278">
        <v>0</v>
      </c>
    </row>
    <row r="29" spans="1:7">
      <c r="A29" s="486" t="s">
        <v>24</v>
      </c>
      <c r="B29" s="487">
        <v>0</v>
      </c>
      <c r="C29" s="489"/>
      <c r="D29" s="490"/>
      <c r="F29" s="259" t="s">
        <v>145</v>
      </c>
      <c r="G29" s="278">
        <v>421.91</v>
      </c>
    </row>
    <row r="30" spans="1:7" ht="18.75">
      <c r="A30" s="491" t="s">
        <v>26</v>
      </c>
      <c r="B30" s="492">
        <f>B21+B22+B29</f>
        <v>590634.38399999996</v>
      </c>
      <c r="C30" s="489"/>
      <c r="D30" s="490"/>
      <c r="F30" s="259" t="s">
        <v>460</v>
      </c>
      <c r="G30" s="278">
        <v>6.84</v>
      </c>
    </row>
    <row r="31" spans="1:7" ht="15.75">
      <c r="A31" s="493" t="s">
        <v>27</v>
      </c>
      <c r="B31" s="100" t="s">
        <v>5</v>
      </c>
      <c r="C31" s="197" t="s">
        <v>28</v>
      </c>
      <c r="D31" s="490"/>
      <c r="F31" s="259" t="s">
        <v>461</v>
      </c>
      <c r="G31" s="278">
        <f>(G26/3+G27)/2920</f>
        <v>0.68673515981735156</v>
      </c>
    </row>
    <row r="32" spans="1:7">
      <c r="A32" s="494" t="s">
        <v>29</v>
      </c>
      <c r="B32" s="487"/>
      <c r="C32" s="495"/>
      <c r="D32" s="490"/>
      <c r="F32" s="259" t="s">
        <v>148</v>
      </c>
      <c r="G32" s="278">
        <v>0</v>
      </c>
    </row>
    <row r="33" spans="1:8" ht="69.75" customHeight="1">
      <c r="A33" s="496" t="s">
        <v>30</v>
      </c>
      <c r="B33" s="340">
        <f>(G31*(3708+200)*1.5*1.15*1.083*1.302*6)+G31*((3708+200)*1.5*1.15*1.083*1.302*6)+(0.104*G26*12)</f>
        <v>80058.586194558418</v>
      </c>
      <c r="C33" s="341" t="s">
        <v>783</v>
      </c>
      <c r="D33" s="288" t="s">
        <v>86</v>
      </c>
      <c r="F33" s="259" t="s">
        <v>149</v>
      </c>
      <c r="G33" s="279">
        <v>0</v>
      </c>
    </row>
    <row r="34" spans="1:8" ht="30">
      <c r="A34" s="287" t="s">
        <v>31</v>
      </c>
      <c r="B34" s="342">
        <f>(G33*9921.13*6)+(G33*10317.11*6)</f>
        <v>0</v>
      </c>
      <c r="C34" s="343" t="s">
        <v>509</v>
      </c>
      <c r="D34" s="258"/>
      <c r="F34" s="247" t="s">
        <v>151</v>
      </c>
      <c r="G34" s="279">
        <v>5</v>
      </c>
    </row>
    <row r="35" spans="1:8" ht="30">
      <c r="A35" s="287" t="s">
        <v>32</v>
      </c>
      <c r="B35" s="498">
        <f>(G32*9921.13*6)+(G32*10317.11*6)+(G20*10.41812*12)*G25</f>
        <v>0</v>
      </c>
      <c r="C35" s="344" t="s">
        <v>781</v>
      </c>
      <c r="D35" s="258"/>
      <c r="F35" s="247" t="s">
        <v>462</v>
      </c>
      <c r="G35" s="279">
        <v>318.5</v>
      </c>
    </row>
    <row r="36" spans="1:8">
      <c r="A36" s="287" t="s">
        <v>34</v>
      </c>
      <c r="B36" s="345">
        <f>(16.06+16.7)*G20</f>
        <v>2096.64</v>
      </c>
      <c r="C36" s="346" t="s">
        <v>782</v>
      </c>
      <c r="D36" s="258" t="s">
        <v>88</v>
      </c>
      <c r="F36" s="289" t="s">
        <v>464</v>
      </c>
      <c r="G36" s="290">
        <v>12852</v>
      </c>
    </row>
    <row r="37" spans="1:8" ht="30">
      <c r="A37" s="287" t="s">
        <v>35</v>
      </c>
      <c r="B37" s="345">
        <f>(49.72+51.71)*2*0</f>
        <v>0</v>
      </c>
      <c r="C37" s="346" t="s">
        <v>469</v>
      </c>
      <c r="D37" s="258"/>
      <c r="F37" s="247" t="s">
        <v>465</v>
      </c>
      <c r="G37" s="279">
        <v>1</v>
      </c>
    </row>
    <row r="38" spans="1:8">
      <c r="A38" s="287" t="s">
        <v>36</v>
      </c>
      <c r="B38" s="347">
        <f>0.25*G35*12</f>
        <v>955.5</v>
      </c>
      <c r="C38" s="348" t="s">
        <v>754</v>
      </c>
      <c r="D38" s="258" t="s">
        <v>85</v>
      </c>
      <c r="F38" s="247" t="s">
        <v>467</v>
      </c>
      <c r="G38" s="279">
        <v>2</v>
      </c>
    </row>
    <row r="39" spans="1:8">
      <c r="A39" s="291" t="s">
        <v>37</v>
      </c>
      <c r="B39" s="554">
        <f>2.34*G35*4</f>
        <v>2981.16</v>
      </c>
      <c r="C39" s="251" t="s">
        <v>755</v>
      </c>
      <c r="D39" s="258" t="s">
        <v>89</v>
      </c>
      <c r="F39" s="285"/>
      <c r="G39" s="286"/>
    </row>
    <row r="40" spans="1:8">
      <c r="A40" s="417" t="s">
        <v>158</v>
      </c>
      <c r="B40" s="427">
        <f>394.23*12</f>
        <v>4730.76</v>
      </c>
      <c r="C40" s="394" t="s">
        <v>780</v>
      </c>
      <c r="D40" s="377"/>
    </row>
    <row r="41" spans="1:8" ht="30">
      <c r="A41" s="417" t="s">
        <v>67</v>
      </c>
      <c r="B41" s="381">
        <f>(635.59*6+661.01*6)*G38</f>
        <v>15559.2</v>
      </c>
      <c r="C41" s="385" t="s">
        <v>496</v>
      </c>
      <c r="D41" s="377" t="s">
        <v>85</v>
      </c>
    </row>
    <row r="42" spans="1:8" ht="30">
      <c r="A42" s="417" t="s">
        <v>190</v>
      </c>
      <c r="B42" s="418">
        <f>(466.1*6+484.74*6)*G22</f>
        <v>0</v>
      </c>
      <c r="C42" s="385" t="s">
        <v>497</v>
      </c>
      <c r="D42" s="377" t="s">
        <v>85</v>
      </c>
      <c r="H42" s="536"/>
    </row>
    <row r="43" spans="1:8" ht="15.75">
      <c r="A43" s="507" t="s">
        <v>47</v>
      </c>
      <c r="B43" s="492">
        <f>SUM(B33:B42)</f>
        <v>106381.84619455841</v>
      </c>
      <c r="C43" s="509"/>
      <c r="D43" s="477"/>
    </row>
    <row r="44" spans="1:8">
      <c r="A44" s="496" t="s">
        <v>48</v>
      </c>
      <c r="B44" s="487"/>
      <c r="C44" s="485"/>
      <c r="D44" s="477"/>
    </row>
    <row r="45" spans="1:8" s="111" customFormat="1" ht="55.5" customHeight="1">
      <c r="A45" s="421" t="s">
        <v>49</v>
      </c>
      <c r="B45" s="413">
        <f>(G30*100.2134*6)+(G30*104.2268)+(1.71*(B11+B12)*12)</f>
        <v>78693.565247999999</v>
      </c>
      <c r="C45" s="422" t="s">
        <v>785</v>
      </c>
      <c r="D45" s="423"/>
      <c r="E45" s="513"/>
    </row>
    <row r="46" spans="1:8" ht="120">
      <c r="A46" s="426" t="s">
        <v>120</v>
      </c>
      <c r="B46" s="427">
        <f>17.51*(B11+B12)</f>
        <v>63032.498</v>
      </c>
      <c r="C46" s="428" t="s">
        <v>786</v>
      </c>
      <c r="D46" s="377"/>
    </row>
    <row r="47" spans="1:8" ht="63">
      <c r="A47" s="456" t="s">
        <v>51</v>
      </c>
      <c r="B47" s="457">
        <f>(654.11+263.56/3)*G36/1000</f>
        <v>9535.7127600000003</v>
      </c>
      <c r="C47" s="458" t="s">
        <v>784</v>
      </c>
      <c r="D47" s="459" t="s">
        <v>91</v>
      </c>
    </row>
    <row r="48" spans="1:8" ht="60">
      <c r="A48" s="430" t="s">
        <v>52</v>
      </c>
      <c r="B48" s="431">
        <f>((G29/12*6*100.2134)+(G29/12*6*104.2268))+((G29/12*6*100.2134)+(G29/12*6*104.2268))/1.302*25%</f>
        <v>51408.727396952396</v>
      </c>
      <c r="C48" s="422" t="s">
        <v>789</v>
      </c>
      <c r="D48" s="377"/>
    </row>
    <row r="49" spans="1:5" ht="15.75">
      <c r="A49" s="515" t="s">
        <v>53</v>
      </c>
      <c r="B49" s="492">
        <f>SUM(B45:B48)</f>
        <v>202670.50340495238</v>
      </c>
      <c r="C49" s="509"/>
      <c r="D49" s="477"/>
    </row>
    <row r="50" spans="1:5">
      <c r="A50" s="514" t="s">
        <v>54</v>
      </c>
      <c r="B50" s="487"/>
      <c r="C50" s="485"/>
      <c r="D50" s="477"/>
    </row>
    <row r="51" spans="1:5" s="105" customFormat="1" ht="12.75">
      <c r="A51" s="118" t="s">
        <v>501</v>
      </c>
      <c r="B51" s="201"/>
      <c r="C51" s="516"/>
      <c r="D51" s="477"/>
      <c r="E51" s="499"/>
    </row>
    <row r="52" spans="1:5">
      <c r="A52" s="514" t="s">
        <v>502</v>
      </c>
      <c r="B52" s="487"/>
      <c r="C52" s="517"/>
      <c r="D52" s="477"/>
    </row>
    <row r="53" spans="1:5">
      <c r="A53" s="514" t="s">
        <v>57</v>
      </c>
      <c r="B53" s="487"/>
      <c r="C53" s="517"/>
      <c r="D53" s="477"/>
    </row>
    <row r="54" spans="1:5">
      <c r="A54" s="514" t="s">
        <v>58</v>
      </c>
      <c r="B54" s="487"/>
      <c r="C54" s="517"/>
      <c r="D54" s="477"/>
    </row>
    <row r="55" spans="1:5">
      <c r="A55" s="514" t="s">
        <v>59</v>
      </c>
      <c r="B55" s="487"/>
      <c r="C55" s="517"/>
      <c r="D55" s="477"/>
    </row>
    <row r="56" spans="1:5" ht="15.75">
      <c r="A56" s="515" t="s">
        <v>60</v>
      </c>
      <c r="B56" s="492">
        <f>B51+B52</f>
        <v>0</v>
      </c>
      <c r="C56" s="518"/>
      <c r="D56" s="477"/>
    </row>
    <row r="57" spans="1:5">
      <c r="A57" s="519" t="s">
        <v>61</v>
      </c>
      <c r="B57" s="407">
        <f>3.051*(B11+B12)</f>
        <v>10982.989799999999</v>
      </c>
      <c r="C57" s="539" t="s">
        <v>787</v>
      </c>
      <c r="D57" s="477"/>
    </row>
    <row r="58" spans="1:5">
      <c r="A58" s="520" t="s">
        <v>62</v>
      </c>
      <c r="B58" s="407">
        <f>1.54*(B11+B12)</f>
        <v>5543.692</v>
      </c>
      <c r="C58" s="540" t="s">
        <v>788</v>
      </c>
      <c r="D58" s="477"/>
    </row>
    <row r="59" spans="1:5">
      <c r="A59" s="488" t="s">
        <v>63</v>
      </c>
      <c r="B59" s="440">
        <f>(B43+B49)*0.348</f>
        <v>107550.21766062974</v>
      </c>
      <c r="C59" s="381" t="s">
        <v>514</v>
      </c>
      <c r="D59" s="477"/>
    </row>
    <row r="60" spans="1:5" ht="25.5">
      <c r="A60" s="488" t="s">
        <v>121</v>
      </c>
      <c r="B60" s="487">
        <f>(B43+B49+B56+B59)*0.132</f>
        <v>54991.538878338557</v>
      </c>
      <c r="C60" s="517" t="s">
        <v>503</v>
      </c>
      <c r="D60" s="477" t="s">
        <v>85</v>
      </c>
    </row>
    <row r="61" spans="1:5" ht="15.75">
      <c r="A61" s="441" t="s">
        <v>122</v>
      </c>
      <c r="B61" s="492">
        <f>B57+B58+B59+B60</f>
        <v>179068.43833896829</v>
      </c>
      <c r="C61" s="518"/>
      <c r="D61" s="477"/>
    </row>
    <row r="62" spans="1:5">
      <c r="A62" s="488" t="s">
        <v>64</v>
      </c>
      <c r="B62" s="487">
        <f>(B43+B49+B56+B61)*3%</f>
        <v>14643.623638154373</v>
      </c>
      <c r="C62" s="517"/>
      <c r="D62" s="477"/>
    </row>
    <row r="63" spans="1:5" ht="15.75">
      <c r="A63" s="522" t="s">
        <v>26</v>
      </c>
      <c r="B63" s="537">
        <f>B43+B49+B56+B61+B62</f>
        <v>502764.41157663346</v>
      </c>
      <c r="C63" s="524"/>
      <c r="D63" s="477"/>
    </row>
    <row r="64" spans="1:5" ht="15.75">
      <c r="A64" s="522" t="s">
        <v>65</v>
      </c>
      <c r="B64" s="537">
        <f>B63*1.2</f>
        <v>603317.29389196017</v>
      </c>
      <c r="C64" s="524"/>
      <c r="D64" s="477"/>
    </row>
    <row r="65" spans="1:4" ht="15.75">
      <c r="A65" s="525"/>
      <c r="B65" s="492">
        <f>B30-B64</f>
        <v>-12682.909891960211</v>
      </c>
      <c r="C65" s="526"/>
      <c r="D65" s="477"/>
    </row>
    <row r="66" spans="1:4" ht="30">
      <c r="A66" s="527" t="s">
        <v>123</v>
      </c>
      <c r="B66" s="528">
        <f>B64/(B11+B12)/12</f>
        <v>13.966454013462789</v>
      </c>
      <c r="C66" s="529" t="s">
        <v>584</v>
      </c>
      <c r="D66" s="530"/>
    </row>
    <row r="67" spans="1:4">
      <c r="A67" s="531"/>
      <c r="B67" s="532"/>
      <c r="C67" s="533"/>
      <c r="D67" s="534"/>
    </row>
    <row r="68" spans="1:4" ht="15" customHeight="1">
      <c r="A68" s="799" t="s">
        <v>124</v>
      </c>
      <c r="B68" s="799"/>
      <c r="C68" s="799"/>
      <c r="D68" s="205"/>
    </row>
    <row r="69" spans="1:4" ht="30" customHeight="1">
      <c r="A69" s="800" t="s">
        <v>518</v>
      </c>
      <c r="B69" s="800"/>
      <c r="C69" s="800"/>
      <c r="D69" s="205"/>
    </row>
    <row r="70" spans="1:4" ht="27.75" customHeight="1">
      <c r="A70" s="800" t="s">
        <v>519</v>
      </c>
      <c r="B70" s="800"/>
      <c r="C70" s="800"/>
      <c r="D70" s="205"/>
    </row>
    <row r="71" spans="1:4" ht="25.5" customHeight="1">
      <c r="A71" s="160"/>
      <c r="B71" s="453"/>
      <c r="D71" s="205"/>
    </row>
    <row r="72" spans="1:4">
      <c r="A72" s="797" t="s">
        <v>505</v>
      </c>
      <c r="B72" s="797"/>
      <c r="C72" s="797"/>
      <c r="D72" s="205"/>
    </row>
    <row r="73" spans="1:4">
      <c r="D73" s="205"/>
    </row>
    <row r="74" spans="1:4">
      <c r="A74" s="66"/>
      <c r="B74" s="66"/>
      <c r="C74" s="66"/>
    </row>
    <row r="75" spans="1:4" ht="18.75">
      <c r="A75" s="170"/>
      <c r="B75" s="170"/>
      <c r="C75" s="170"/>
    </row>
  </sheetData>
  <mergeCells count="6">
    <mergeCell ref="A72:C72"/>
    <mergeCell ref="A7:D7"/>
    <mergeCell ref="A8:D9"/>
    <mergeCell ref="A68:C68"/>
    <mergeCell ref="A69:C69"/>
    <mergeCell ref="A70:C70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workbookViewId="0">
      <selection activeCell="E19" sqref="E1:H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11.85546875" style="162" hidden="1" customWidth="1"/>
    <col min="8" max="8" width="0" style="162" hidden="1" customWidth="1"/>
    <col min="9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535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2793.2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20.28</v>
      </c>
    </row>
    <row r="15" spans="1:7">
      <c r="A15" s="474" t="s">
        <v>7</v>
      </c>
      <c r="B15" s="475">
        <f>B11*G14*12</f>
        <v>679753.152</v>
      </c>
      <c r="C15" s="481" t="s">
        <v>585</v>
      </c>
      <c r="D15" s="477" t="s">
        <v>85</v>
      </c>
      <c r="F15" s="259" t="s">
        <v>134</v>
      </c>
      <c r="G15" s="260">
        <v>2793.2</v>
      </c>
    </row>
    <row r="16" spans="1:7">
      <c r="A16" s="474" t="s">
        <v>9</v>
      </c>
      <c r="B16" s="478">
        <v>0</v>
      </c>
      <c r="C16" s="481"/>
      <c r="D16" s="477"/>
      <c r="F16" s="259" t="s">
        <v>135</v>
      </c>
      <c r="G16" s="260">
        <v>48</v>
      </c>
    </row>
    <row r="17" spans="1:7" ht="15.75">
      <c r="A17" s="543" t="s">
        <v>12</v>
      </c>
      <c r="B17" s="544">
        <f>B15+B16</f>
        <v>679753.152</v>
      </c>
      <c r="C17" s="545"/>
      <c r="D17" s="477"/>
      <c r="E17" s="162"/>
      <c r="F17" s="259" t="s">
        <v>136</v>
      </c>
      <c r="G17" s="260">
        <v>134</v>
      </c>
    </row>
    <row r="18" spans="1:7">
      <c r="A18" s="546" t="s">
        <v>13</v>
      </c>
      <c r="B18" s="478">
        <f>B19+B20+B21+B22+B23+B24</f>
        <v>5189.76</v>
      </c>
      <c r="C18" s="545"/>
      <c r="D18" s="477"/>
      <c r="F18" s="247" t="s">
        <v>459</v>
      </c>
      <c r="G18" s="248">
        <v>0</v>
      </c>
    </row>
    <row r="19" spans="1:7">
      <c r="A19" s="541" t="s">
        <v>14</v>
      </c>
      <c r="B19" s="172">
        <f>34.98*12</f>
        <v>419.76</v>
      </c>
      <c r="C19" s="542" t="s">
        <v>15</v>
      </c>
      <c r="D19" s="477" t="s">
        <v>85</v>
      </c>
      <c r="F19" s="259" t="s">
        <v>139</v>
      </c>
      <c r="G19" s="260">
        <v>431</v>
      </c>
    </row>
    <row r="20" spans="1:7">
      <c r="A20" s="488" t="s">
        <v>16</v>
      </c>
      <c r="B20" s="487">
        <f>137.5*12*0</f>
        <v>0</v>
      </c>
      <c r="C20" s="485" t="s">
        <v>17</v>
      </c>
      <c r="D20" s="477" t="s">
        <v>85</v>
      </c>
      <c r="F20" s="259" t="s">
        <v>140</v>
      </c>
      <c r="G20" s="260">
        <v>2</v>
      </c>
    </row>
    <row r="21" spans="1:7">
      <c r="A21" s="488" t="s">
        <v>18</v>
      </c>
      <c r="B21" s="487">
        <f>123.75*12</f>
        <v>1485</v>
      </c>
      <c r="C21" s="485" t="s">
        <v>19</v>
      </c>
      <c r="D21" s="477" t="s">
        <v>85</v>
      </c>
      <c r="F21" s="259" t="s">
        <v>141</v>
      </c>
      <c r="G21" s="260">
        <v>2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1425.2</v>
      </c>
    </row>
    <row r="23" spans="1:7">
      <c r="A23" s="488" t="s">
        <v>66</v>
      </c>
      <c r="B23" s="487">
        <f>150*12</f>
        <v>1800</v>
      </c>
      <c r="C23" s="485" t="s">
        <v>21</v>
      </c>
      <c r="D23" s="477" t="s">
        <v>85</v>
      </c>
      <c r="F23" s="259" t="s">
        <v>143</v>
      </c>
      <c r="G23" s="277">
        <v>2040.3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327.18</v>
      </c>
    </row>
    <row r="26" spans="1:7" ht="18.75">
      <c r="A26" s="491" t="s">
        <v>26</v>
      </c>
      <c r="B26" s="492">
        <f>B17+B18+B25</f>
        <v>684942.91200000001</v>
      </c>
      <c r="C26" s="489"/>
      <c r="D26" s="490"/>
      <c r="F26" s="259" t="s">
        <v>460</v>
      </c>
      <c r="G26" s="278">
        <v>6.93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0.8614269406392695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G16/115</f>
        <v>0.41739130434782606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100040.01425188957</v>
      </c>
      <c r="C29" s="341" t="s">
        <v>600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12</v>
      </c>
    </row>
    <row r="31" spans="1:7" ht="45">
      <c r="A31" s="287" t="s">
        <v>32</v>
      </c>
      <c r="B31" s="342">
        <f>(1.72*9921.13*6)+(1.75*10317.11*6)+(252*10.41812*12)</f>
        <v>242220.11147999999</v>
      </c>
      <c r="C31" s="344" t="s">
        <v>601</v>
      </c>
      <c r="D31" s="258"/>
      <c r="F31" s="247" t="s">
        <v>462</v>
      </c>
      <c r="G31" s="279">
        <v>338</v>
      </c>
    </row>
    <row r="32" spans="1:7">
      <c r="A32" s="287" t="s">
        <v>34</v>
      </c>
      <c r="B32" s="345">
        <f>(16.06+16.7)*G16</f>
        <v>1572.48</v>
      </c>
      <c r="C32" s="346" t="s">
        <v>602</v>
      </c>
      <c r="D32" s="258" t="s">
        <v>88</v>
      </c>
      <c r="F32" s="285" t="s">
        <v>463</v>
      </c>
      <c r="G32" s="286">
        <v>338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13237</v>
      </c>
    </row>
    <row r="34" spans="1:7">
      <c r="A34" s="287" t="s">
        <v>36</v>
      </c>
      <c r="B34" s="347">
        <f>0.25*G31*12</f>
        <v>1014</v>
      </c>
      <c r="C34" s="348" t="s">
        <v>603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345">
        <f>2.34*G31*4</f>
        <v>3163.68</v>
      </c>
      <c r="C35" s="251" t="s">
        <v>604</v>
      </c>
      <c r="D35" s="258" t="s">
        <v>89</v>
      </c>
      <c r="F35" s="247" t="s">
        <v>467</v>
      </c>
      <c r="G35" s="279">
        <v>2</v>
      </c>
    </row>
    <row r="36" spans="1:7" ht="30">
      <c r="A36" s="417" t="s">
        <v>67</v>
      </c>
      <c r="B36" s="381">
        <f>(635.59*6+661.01*6)*G34</f>
        <v>7779.6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 ht="30">
      <c r="A38" s="385" t="s">
        <v>536</v>
      </c>
      <c r="B38" s="383">
        <f>G16*(42.9*6+44.62*6)</f>
        <v>25205.759999999995</v>
      </c>
      <c r="C38" s="417" t="s">
        <v>537</v>
      </c>
      <c r="D38" s="505"/>
    </row>
    <row r="39" spans="1:7">
      <c r="A39" s="385" t="s">
        <v>529</v>
      </c>
      <c r="B39" s="383">
        <f>3750*12*2</f>
        <v>90000</v>
      </c>
      <c r="C39" s="417" t="s">
        <v>607</v>
      </c>
      <c r="D39" s="504" t="s">
        <v>85</v>
      </c>
    </row>
    <row r="40" spans="1:7">
      <c r="A40" s="385" t="s">
        <v>530</v>
      </c>
      <c r="B40" s="383">
        <f>4190*2</f>
        <v>8380</v>
      </c>
      <c r="C40" s="417" t="s">
        <v>605</v>
      </c>
      <c r="D40" s="505" t="s">
        <v>532</v>
      </c>
    </row>
    <row r="41" spans="1:7" ht="15.75">
      <c r="A41" s="507" t="s">
        <v>47</v>
      </c>
      <c r="B41" s="492">
        <f>SUM(B29:B40)</f>
        <v>479375.64573188953</v>
      </c>
      <c r="C41" s="509"/>
      <c r="D41" s="477"/>
    </row>
    <row r="42" spans="1:7">
      <c r="A42" s="496" t="s">
        <v>48</v>
      </c>
      <c r="B42" s="487"/>
      <c r="C42" s="485"/>
      <c r="D42" s="477"/>
    </row>
    <row r="43" spans="1:7" ht="45">
      <c r="A43" s="421" t="s">
        <v>49</v>
      </c>
      <c r="B43" s="413">
        <f>(G23*100.2134*6)+(G23*104.2268)+(1.71*(B7+B8)*12)</f>
        <v>1439446.3401599999</v>
      </c>
      <c r="C43" s="422" t="s">
        <v>608</v>
      </c>
      <c r="D43" s="423"/>
    </row>
    <row r="44" spans="1:7" ht="120">
      <c r="A44" s="426" t="s">
        <v>120</v>
      </c>
      <c r="B44" s="427">
        <f>17.51*(B12+B11)</f>
        <v>48908.932000000001</v>
      </c>
      <c r="C44" s="428" t="s">
        <v>611</v>
      </c>
      <c r="D44" s="377"/>
    </row>
    <row r="45" spans="1:7" ht="63">
      <c r="A45" s="456" t="s">
        <v>51</v>
      </c>
      <c r="B45" s="457">
        <f>(654.11+263.56/3)*G29/1000</f>
        <v>0</v>
      </c>
      <c r="C45" s="458" t="s">
        <v>612</v>
      </c>
      <c r="D45" s="459" t="s">
        <v>91</v>
      </c>
    </row>
    <row r="46" spans="1:7" ht="60">
      <c r="A46" s="430" t="s">
        <v>52</v>
      </c>
      <c r="B46" s="431">
        <f>((G22/12*6*100.2134)+(G22/12*6*104.2268))+((G22/12*6*100.2134)+(G22/12*6*104.2268))/1.302*25%</f>
        <v>173657.22141247313</v>
      </c>
      <c r="C46" s="422" t="s">
        <v>613</v>
      </c>
      <c r="D46" s="377"/>
    </row>
    <row r="47" spans="1:7" ht="15.75">
      <c r="A47" s="515" t="s">
        <v>53</v>
      </c>
      <c r="B47" s="492">
        <f>SUM(B44:B46)</f>
        <v>222566.15341247313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5" s="105" customFormat="1" ht="12.75">
      <c r="A49" s="118" t="s">
        <v>501</v>
      </c>
      <c r="B49" s="201"/>
      <c r="C49" s="516"/>
      <c r="D49" s="477"/>
      <c r="E49" s="499"/>
    </row>
    <row r="50" spans="1:5">
      <c r="A50" s="514" t="s">
        <v>502</v>
      </c>
      <c r="B50" s="487"/>
      <c r="C50" s="517"/>
      <c r="D50" s="477"/>
    </row>
    <row r="51" spans="1:5">
      <c r="A51" s="514" t="s">
        <v>57</v>
      </c>
      <c r="B51" s="487"/>
      <c r="C51" s="517"/>
      <c r="D51" s="477"/>
    </row>
    <row r="52" spans="1:5">
      <c r="A52" s="514" t="s">
        <v>58</v>
      </c>
      <c r="B52" s="487"/>
      <c r="C52" s="517"/>
      <c r="D52" s="477"/>
    </row>
    <row r="53" spans="1:5">
      <c r="A53" s="514" t="s">
        <v>59</v>
      </c>
      <c r="B53" s="487"/>
      <c r="C53" s="517"/>
      <c r="D53" s="477"/>
    </row>
    <row r="54" spans="1:5" ht="15.75">
      <c r="A54" s="515" t="s">
        <v>60</v>
      </c>
      <c r="B54" s="492">
        <f>B49+B50</f>
        <v>0</v>
      </c>
      <c r="C54" s="518"/>
      <c r="D54" s="477"/>
    </row>
    <row r="55" spans="1:5">
      <c r="A55" s="519" t="s">
        <v>61</v>
      </c>
      <c r="B55" s="407">
        <f>3.051*(B12+B11)</f>
        <v>8522.0532000000003</v>
      </c>
      <c r="C55" s="539" t="s">
        <v>609</v>
      </c>
      <c r="D55" s="477"/>
    </row>
    <row r="56" spans="1:5">
      <c r="A56" s="520" t="s">
        <v>62</v>
      </c>
      <c r="B56" s="407">
        <f>1.54*(B11+B12)</f>
        <v>4301.5280000000002</v>
      </c>
      <c r="C56" s="540" t="s">
        <v>610</v>
      </c>
      <c r="D56" s="477"/>
    </row>
    <row r="57" spans="1:5">
      <c r="A57" s="488" t="s">
        <v>63</v>
      </c>
      <c r="B57" s="440">
        <f>(B41+B47)*0.348</f>
        <v>244275.74610223819</v>
      </c>
      <c r="C57" s="381" t="s">
        <v>514</v>
      </c>
      <c r="D57" s="477"/>
    </row>
    <row r="58" spans="1:5" ht="25.5">
      <c r="A58" s="488" t="s">
        <v>121</v>
      </c>
      <c r="B58" s="487">
        <f>(B42+B47+B54+B57)*0.132</f>
        <v>61623.130735941901</v>
      </c>
      <c r="C58" s="517" t="s">
        <v>503</v>
      </c>
      <c r="D58" s="477" t="s">
        <v>85</v>
      </c>
    </row>
    <row r="59" spans="1:5" ht="15.75">
      <c r="A59" s="441" t="s">
        <v>122</v>
      </c>
      <c r="B59" s="492">
        <f>B55+B56+B57+B58</f>
        <v>318722.45803818014</v>
      </c>
      <c r="C59" s="518"/>
      <c r="D59" s="477"/>
    </row>
    <row r="60" spans="1:5">
      <c r="A60" s="488" t="s">
        <v>64</v>
      </c>
      <c r="B60" s="487">
        <f>(B41+B47+B54+B59)*3%</f>
        <v>30619.927715476282</v>
      </c>
      <c r="C60" s="517"/>
      <c r="D60" s="477"/>
    </row>
    <row r="61" spans="1:5" ht="15.75">
      <c r="A61" s="522" t="s">
        <v>26</v>
      </c>
      <c r="B61" s="537">
        <f>B41+B47+B54+B59+B60</f>
        <v>1051284.1848980191</v>
      </c>
      <c r="C61" s="524"/>
      <c r="D61" s="477"/>
    </row>
    <row r="62" spans="1:5" ht="15.75">
      <c r="A62" s="522" t="s">
        <v>65</v>
      </c>
      <c r="B62" s="537">
        <f>B61*1.2</f>
        <v>1261541.0218776229</v>
      </c>
      <c r="C62" s="524"/>
      <c r="D62" s="477"/>
    </row>
    <row r="63" spans="1:5" ht="15.75">
      <c r="A63" s="525"/>
      <c r="B63" s="492">
        <f>B26-B62</f>
        <v>-576598.10987762292</v>
      </c>
      <c r="C63" s="526"/>
      <c r="D63" s="477"/>
    </row>
    <row r="64" spans="1:5" ht="30">
      <c r="A64" s="527" t="s">
        <v>123</v>
      </c>
      <c r="B64" s="528">
        <f>B62/(B11+B12)/12</f>
        <v>37.637268541386909</v>
      </c>
      <c r="C64" s="529" t="s">
        <v>538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7:D7"/>
    <mergeCell ref="A8:D9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</sheetPr>
  <dimension ref="A1:G94"/>
  <sheetViews>
    <sheetView topLeftCell="A4" workbookViewId="0">
      <selection activeCell="E4" sqref="E1:G1048576"/>
    </sheetView>
  </sheetViews>
  <sheetFormatPr defaultRowHeight="15"/>
  <cols>
    <col min="1" max="1" width="44.7109375" style="66" customWidth="1"/>
    <col min="2" max="2" width="14.5703125" style="66" customWidth="1"/>
    <col min="3" max="3" width="37.85546875" style="66" customWidth="1"/>
    <col min="4" max="4" width="18" style="66" customWidth="1"/>
    <col min="5" max="5" width="7.140625" style="58" hidden="1" customWidth="1"/>
    <col min="6" max="6" width="26.7109375" style="58" hidden="1" customWidth="1"/>
    <col min="7" max="7" width="8.42578125" style="58" hidden="1" customWidth="1"/>
    <col min="8" max="9" width="9.140625" style="58" customWidth="1"/>
    <col min="10" max="16384" width="9.140625" style="58"/>
  </cols>
  <sheetData>
    <row r="1" spans="1:4">
      <c r="C1" s="159" t="s">
        <v>0</v>
      </c>
    </row>
    <row r="2" spans="1:4">
      <c r="C2" s="159" t="s">
        <v>216</v>
      </c>
    </row>
    <row r="3" spans="1:4">
      <c r="C3" s="159" t="s">
        <v>189</v>
      </c>
    </row>
    <row r="4" spans="1:4">
      <c r="C4" s="159"/>
    </row>
    <row r="5" spans="1:4">
      <c r="C5" s="159" t="s">
        <v>217</v>
      </c>
    </row>
    <row r="6" spans="1:4">
      <c r="C6" s="193"/>
      <c r="D6" s="65"/>
    </row>
    <row r="7" spans="1:4">
      <c r="C7" s="193"/>
    </row>
    <row r="8" spans="1:4">
      <c r="A8" s="801" t="s">
        <v>478</v>
      </c>
      <c r="B8" s="801"/>
      <c r="C8" s="801"/>
      <c r="D8" s="801"/>
    </row>
    <row r="9" spans="1:4">
      <c r="A9" s="801" t="s">
        <v>790</v>
      </c>
      <c r="B9" s="801"/>
      <c r="C9" s="801"/>
      <c r="D9" s="801"/>
    </row>
    <row r="10" spans="1:4">
      <c r="A10" s="801"/>
      <c r="B10" s="801"/>
      <c r="C10" s="801"/>
      <c r="D10" s="801"/>
    </row>
    <row r="11" spans="1:4">
      <c r="A11" s="237"/>
      <c r="B11" s="237"/>
      <c r="C11" s="237"/>
    </row>
    <row r="12" spans="1:4">
      <c r="A12" s="160" t="s">
        <v>2</v>
      </c>
      <c r="B12" s="238">
        <f>G22</f>
        <v>2868.8</v>
      </c>
      <c r="C12" s="463" t="s">
        <v>72</v>
      </c>
    </row>
    <row r="13" spans="1:4" s="59" customFormat="1">
      <c r="A13" s="464" t="s">
        <v>3</v>
      </c>
      <c r="B13" s="240">
        <f>291.4+786.7+283.2</f>
        <v>1361.3</v>
      </c>
      <c r="C13" s="241"/>
      <c r="D13" s="242"/>
    </row>
    <row r="14" spans="1:4" s="59" customFormat="1">
      <c r="A14" s="464"/>
      <c r="B14" s="240"/>
      <c r="C14" s="241"/>
      <c r="D14" s="242"/>
    </row>
    <row r="15" spans="1:4" ht="28.5">
      <c r="A15" s="243" t="s">
        <v>4</v>
      </c>
      <c r="B15" s="244" t="s">
        <v>5</v>
      </c>
      <c r="C15" s="245" t="s">
        <v>6</v>
      </c>
      <c r="D15" s="562" t="s">
        <v>84</v>
      </c>
    </row>
    <row r="16" spans="1:4">
      <c r="A16" s="249" t="s">
        <v>7</v>
      </c>
      <c r="B16" s="564">
        <f>B12*13.5*12</f>
        <v>464745.60000000003</v>
      </c>
      <c r="C16" s="385" t="s">
        <v>795</v>
      </c>
      <c r="D16" s="425" t="s">
        <v>85</v>
      </c>
    </row>
    <row r="17" spans="1:7">
      <c r="A17" s="261" t="s">
        <v>9</v>
      </c>
      <c r="B17" s="262">
        <f>B18+B20</f>
        <v>210057.3</v>
      </c>
      <c r="C17" s="319"/>
      <c r="D17" s="377"/>
    </row>
    <row r="18" spans="1:7">
      <c r="A18" s="264" t="s">
        <v>791</v>
      </c>
      <c r="B18" s="265">
        <f>B19</f>
        <v>82611.899999999994</v>
      </c>
      <c r="C18" s="587"/>
      <c r="D18" s="377"/>
    </row>
    <row r="19" spans="1:7">
      <c r="A19" s="267" t="s">
        <v>10</v>
      </c>
      <c r="B19" s="564">
        <f>291.4*13.5*21</f>
        <v>82611.899999999994</v>
      </c>
      <c r="C19" s="588" t="s">
        <v>796</v>
      </c>
      <c r="D19" s="377" t="s">
        <v>85</v>
      </c>
    </row>
    <row r="20" spans="1:7">
      <c r="A20" s="264" t="s">
        <v>964</v>
      </c>
      <c r="B20" s="265">
        <f>B21</f>
        <v>127445.40000000001</v>
      </c>
      <c r="C20" s="587"/>
      <c r="D20" s="377"/>
    </row>
    <row r="21" spans="1:7">
      <c r="A21" s="267" t="s">
        <v>10</v>
      </c>
      <c r="B21" s="564">
        <f>786.7*13.5*12</f>
        <v>127445.40000000001</v>
      </c>
      <c r="C21" s="588" t="s">
        <v>797</v>
      </c>
      <c r="D21" s="377" t="s">
        <v>85</v>
      </c>
      <c r="F21" s="253" t="s">
        <v>132</v>
      </c>
      <c r="G21" s="254">
        <v>13.5</v>
      </c>
    </row>
    <row r="22" spans="1:7">
      <c r="A22" s="264" t="s">
        <v>792</v>
      </c>
      <c r="B22" s="265">
        <f>B23</f>
        <v>45878.399999999994</v>
      </c>
      <c r="C22" s="587"/>
      <c r="D22" s="377"/>
      <c r="F22" s="259" t="s">
        <v>134</v>
      </c>
      <c r="G22" s="260">
        <v>2868.8</v>
      </c>
    </row>
    <row r="23" spans="1:7">
      <c r="A23" s="267" t="s">
        <v>10</v>
      </c>
      <c r="B23" s="564">
        <f>283.2*13.5*12</f>
        <v>45878.399999999994</v>
      </c>
      <c r="C23" s="588" t="s">
        <v>798</v>
      </c>
      <c r="D23" s="377" t="s">
        <v>85</v>
      </c>
      <c r="F23" s="259" t="s">
        <v>135</v>
      </c>
      <c r="G23" s="260">
        <v>64</v>
      </c>
    </row>
    <row r="24" spans="1:7">
      <c r="A24" s="321" t="s">
        <v>12</v>
      </c>
      <c r="B24" s="322">
        <f>B16+B17</f>
        <v>674802.9</v>
      </c>
      <c r="C24" s="274"/>
      <c r="D24" s="377"/>
      <c r="F24" s="259" t="s">
        <v>136</v>
      </c>
      <c r="G24" s="260">
        <v>153</v>
      </c>
    </row>
    <row r="25" spans="1:7" ht="30">
      <c r="A25" s="275" t="s">
        <v>13</v>
      </c>
      <c r="B25" s="276">
        <f>B26+B27+B28+B29+B30+B31+B32</f>
        <v>5189.76</v>
      </c>
      <c r="C25" s="274"/>
      <c r="D25" s="377"/>
      <c r="F25" s="247" t="s">
        <v>459</v>
      </c>
      <c r="G25" s="248">
        <v>0</v>
      </c>
    </row>
    <row r="26" spans="1:7">
      <c r="A26" s="264" t="s">
        <v>14</v>
      </c>
      <c r="B26" s="276">
        <f>34.98*12</f>
        <v>419.76</v>
      </c>
      <c r="C26" s="274" t="s">
        <v>15</v>
      </c>
      <c r="D26" s="377" t="s">
        <v>85</v>
      </c>
      <c r="F26" s="259" t="s">
        <v>139</v>
      </c>
      <c r="G26" s="260">
        <v>1145</v>
      </c>
    </row>
    <row r="27" spans="1:7">
      <c r="A27" s="264" t="s">
        <v>16</v>
      </c>
      <c r="B27" s="276">
        <f>137.5*12*0</f>
        <v>0</v>
      </c>
      <c r="C27" s="274" t="s">
        <v>17</v>
      </c>
      <c r="D27" s="377"/>
      <c r="F27" s="259" t="s">
        <v>140</v>
      </c>
      <c r="G27" s="260">
        <v>0</v>
      </c>
    </row>
    <row r="28" spans="1:7">
      <c r="A28" s="264" t="s">
        <v>18</v>
      </c>
      <c r="B28" s="276">
        <f>123.75*12</f>
        <v>1485</v>
      </c>
      <c r="C28" s="274" t="s">
        <v>19</v>
      </c>
      <c r="D28" s="377" t="s">
        <v>85</v>
      </c>
      <c r="F28" s="259" t="s">
        <v>141</v>
      </c>
      <c r="G28" s="260">
        <v>0</v>
      </c>
    </row>
    <row r="29" spans="1:7">
      <c r="A29" s="264" t="s">
        <v>20</v>
      </c>
      <c r="B29" s="276">
        <f>123.75*12</f>
        <v>1485</v>
      </c>
      <c r="C29" s="274" t="s">
        <v>19</v>
      </c>
      <c r="D29" s="377" t="s">
        <v>85</v>
      </c>
      <c r="F29" s="259" t="s">
        <v>142</v>
      </c>
      <c r="G29" s="260">
        <v>2324.1999999999998</v>
      </c>
    </row>
    <row r="30" spans="1:7">
      <c r="A30" s="264" t="s">
        <v>66</v>
      </c>
      <c r="B30" s="276">
        <f>150*12</f>
        <v>1800</v>
      </c>
      <c r="C30" s="274" t="s">
        <v>21</v>
      </c>
      <c r="D30" s="377" t="s">
        <v>85</v>
      </c>
      <c r="F30" s="259" t="s">
        <v>143</v>
      </c>
      <c r="G30" s="277">
        <v>3466.8</v>
      </c>
    </row>
    <row r="31" spans="1:7">
      <c r="A31" s="264" t="s">
        <v>22</v>
      </c>
      <c r="B31" s="276">
        <f>137.5*12*0</f>
        <v>0</v>
      </c>
      <c r="C31" s="274" t="s">
        <v>17</v>
      </c>
      <c r="D31" s="377"/>
      <c r="F31" s="259" t="s">
        <v>144</v>
      </c>
      <c r="G31" s="278">
        <v>0</v>
      </c>
    </row>
    <row r="32" spans="1:7">
      <c r="A32" s="264" t="s">
        <v>23</v>
      </c>
      <c r="B32" s="276">
        <f>150*12*0</f>
        <v>0</v>
      </c>
      <c r="C32" s="274" t="s">
        <v>21</v>
      </c>
      <c r="D32" s="377"/>
      <c r="F32" s="259" t="s">
        <v>145</v>
      </c>
      <c r="G32" s="278">
        <v>422.22</v>
      </c>
    </row>
    <row r="33" spans="1:7">
      <c r="A33" s="275" t="s">
        <v>24</v>
      </c>
      <c r="B33" s="276">
        <f>B34</f>
        <v>0</v>
      </c>
      <c r="C33" s="274"/>
      <c r="D33" s="377"/>
      <c r="F33" s="259" t="s">
        <v>460</v>
      </c>
      <c r="G33" s="278">
        <v>9.99</v>
      </c>
    </row>
    <row r="34" spans="1:7">
      <c r="A34" s="264"/>
      <c r="B34" s="276"/>
      <c r="C34" s="274"/>
      <c r="D34" s="377"/>
      <c r="F34" s="259" t="s">
        <v>461</v>
      </c>
      <c r="G34" s="278">
        <f>(G29/3+G30)/2920</f>
        <v>1.4525799086757993</v>
      </c>
    </row>
    <row r="35" spans="1:7">
      <c r="A35" s="292" t="s">
        <v>26</v>
      </c>
      <c r="B35" s="322">
        <f>B24+B25+B33</f>
        <v>679992.66</v>
      </c>
      <c r="C35" s="274"/>
      <c r="D35" s="377"/>
      <c r="F35" s="259" t="s">
        <v>148</v>
      </c>
      <c r="G35" s="278">
        <v>0</v>
      </c>
    </row>
    <row r="36" spans="1:7">
      <c r="A36" s="244" t="s">
        <v>27</v>
      </c>
      <c r="B36" s="281" t="s">
        <v>5</v>
      </c>
      <c r="C36" s="282" t="s">
        <v>28</v>
      </c>
      <c r="D36" s="377"/>
      <c r="F36" s="259" t="s">
        <v>149</v>
      </c>
      <c r="G36" s="279">
        <v>0</v>
      </c>
    </row>
    <row r="37" spans="1:7">
      <c r="A37" s="283" t="s">
        <v>29</v>
      </c>
      <c r="B37" s="262"/>
      <c r="C37" s="284"/>
      <c r="D37" s="377"/>
      <c r="F37" s="247" t="s">
        <v>151</v>
      </c>
      <c r="G37" s="279">
        <v>5</v>
      </c>
    </row>
    <row r="38" spans="1:7" ht="60">
      <c r="A38" s="409" t="s">
        <v>30</v>
      </c>
      <c r="B38" s="340">
        <f>(G34*(3708+200)*1.5*1.15*1.083*1.302*6)+G34*((3708+200)*1.5*1.15*1.083*1.302*6)+(0.104*G29*12)</f>
        <v>168593.68288032152</v>
      </c>
      <c r="C38" s="341" t="s">
        <v>800</v>
      </c>
      <c r="D38" s="288" t="s">
        <v>86</v>
      </c>
      <c r="F38" s="247" t="s">
        <v>462</v>
      </c>
      <c r="G38" s="279">
        <v>800</v>
      </c>
    </row>
    <row r="39" spans="1:7" ht="30">
      <c r="A39" s="287" t="s">
        <v>31</v>
      </c>
      <c r="B39" s="342">
        <f>(G36*9921.13*6)+(G36*10317.11*6)</f>
        <v>0</v>
      </c>
      <c r="C39" s="343" t="s">
        <v>509</v>
      </c>
      <c r="D39" s="258"/>
      <c r="F39" s="289" t="s">
        <v>464</v>
      </c>
      <c r="G39" s="290">
        <v>14188</v>
      </c>
    </row>
    <row r="40" spans="1:7" ht="45">
      <c r="A40" s="287" t="s">
        <v>32</v>
      </c>
      <c r="B40" s="498">
        <f>(G35*9921.13*6)+(G35*10317.11*6)+(G23*10.41812*12)*G28</f>
        <v>0</v>
      </c>
      <c r="C40" s="344" t="s">
        <v>781</v>
      </c>
      <c r="D40" s="258"/>
      <c r="F40" s="247" t="s">
        <v>465</v>
      </c>
      <c r="G40" s="279">
        <v>1</v>
      </c>
    </row>
    <row r="41" spans="1:7">
      <c r="A41" s="287" t="s">
        <v>34</v>
      </c>
      <c r="B41" s="345">
        <f>(16.06+16.7)*G23</f>
        <v>2096.64</v>
      </c>
      <c r="C41" s="346" t="s">
        <v>782</v>
      </c>
      <c r="D41" s="258" t="s">
        <v>88</v>
      </c>
      <c r="F41" s="247" t="s">
        <v>467</v>
      </c>
      <c r="G41" s="279">
        <v>2</v>
      </c>
    </row>
    <row r="42" spans="1:7" ht="30">
      <c r="A42" s="287" t="s">
        <v>35</v>
      </c>
      <c r="B42" s="345">
        <f>(49.72+51.71)*2*0</f>
        <v>0</v>
      </c>
      <c r="C42" s="346" t="s">
        <v>469</v>
      </c>
      <c r="D42" s="258"/>
      <c r="F42" s="285"/>
      <c r="G42" s="286"/>
    </row>
    <row r="43" spans="1:7">
      <c r="A43" s="287" t="s">
        <v>36</v>
      </c>
      <c r="B43" s="347">
        <f>0.25*G38*12</f>
        <v>2400</v>
      </c>
      <c r="C43" s="348" t="s">
        <v>801</v>
      </c>
      <c r="D43" s="258" t="s">
        <v>85</v>
      </c>
    </row>
    <row r="44" spans="1:7">
      <c r="A44" s="291" t="s">
        <v>37</v>
      </c>
      <c r="B44" s="554">
        <f>2.34*G38*4</f>
        <v>7488</v>
      </c>
      <c r="C44" s="251" t="s">
        <v>793</v>
      </c>
      <c r="D44" s="258" t="s">
        <v>89</v>
      </c>
    </row>
    <row r="45" spans="1:7">
      <c r="A45" s="417" t="s">
        <v>158</v>
      </c>
      <c r="B45" s="427">
        <f>351.6*12</f>
        <v>4219.2000000000007</v>
      </c>
      <c r="C45" s="394" t="s">
        <v>799</v>
      </c>
      <c r="D45" s="377"/>
    </row>
    <row r="46" spans="1:7" ht="30">
      <c r="A46" s="417" t="s">
        <v>67</v>
      </c>
      <c r="B46" s="381">
        <f>(635.59*6+661.01*6)*G40</f>
        <v>7779.6</v>
      </c>
      <c r="C46" s="385" t="s">
        <v>496</v>
      </c>
      <c r="D46" s="377" t="s">
        <v>85</v>
      </c>
    </row>
    <row r="47" spans="1:7" ht="30">
      <c r="A47" s="417" t="s">
        <v>190</v>
      </c>
      <c r="B47" s="418">
        <f>(466.1*6+484.74*6)*G25</f>
        <v>0</v>
      </c>
      <c r="C47" s="385" t="s">
        <v>497</v>
      </c>
      <c r="D47" s="377" t="s">
        <v>85</v>
      </c>
    </row>
    <row r="48" spans="1:7">
      <c r="A48" s="400" t="s">
        <v>47</v>
      </c>
      <c r="B48" s="437">
        <f>SUM(B38:B47)</f>
        <v>192577.12288032155</v>
      </c>
      <c r="C48" s="428"/>
      <c r="D48" s="425"/>
    </row>
    <row r="49" spans="1:4">
      <c r="A49" s="409" t="s">
        <v>48</v>
      </c>
      <c r="B49" s="407"/>
      <c r="C49" s="428"/>
      <c r="D49" s="425"/>
    </row>
    <row r="50" spans="1:4" s="328" customFormat="1" ht="45">
      <c r="A50" s="421" t="s">
        <v>49</v>
      </c>
      <c r="B50" s="413">
        <f>(G33*100.2134*6)+(G33*104.2268)+(1.71*(B13+B12)*12)</f>
        <v>93849.668927999999</v>
      </c>
      <c r="C50" s="422" t="s">
        <v>802</v>
      </c>
      <c r="D50" s="423"/>
    </row>
    <row r="51" spans="1:4" ht="120">
      <c r="A51" s="426" t="s">
        <v>120</v>
      </c>
      <c r="B51" s="427">
        <f>17.51*(B13+B12)</f>
        <v>74069.051000000007</v>
      </c>
      <c r="C51" s="428" t="s">
        <v>803</v>
      </c>
      <c r="D51" s="377"/>
    </row>
    <row r="52" spans="1:4" ht="60">
      <c r="A52" s="287" t="s">
        <v>51</v>
      </c>
      <c r="B52" s="440">
        <f>(654.11+263.56/3)*G39/1000</f>
        <v>10526.975773333334</v>
      </c>
      <c r="C52" s="424" t="s">
        <v>806</v>
      </c>
      <c r="D52" s="417" t="s">
        <v>91</v>
      </c>
    </row>
    <row r="53" spans="1:4" ht="60">
      <c r="A53" s="430" t="s">
        <v>52</v>
      </c>
      <c r="B53" s="431">
        <f>((G32/12*6*100.2134)+(G32/12*6*104.2268))+((G32/12*6*100.2134)+(G32/12*6*104.2268))/1.302*25%</f>
        <v>51446.50015771429</v>
      </c>
      <c r="C53" s="422" t="s">
        <v>807</v>
      </c>
      <c r="D53" s="377"/>
    </row>
    <row r="54" spans="1:4">
      <c r="A54" s="302" t="s">
        <v>53</v>
      </c>
      <c r="B54" s="322">
        <f>SUM(B50:B53)</f>
        <v>229892.19585904764</v>
      </c>
      <c r="C54" s="274"/>
      <c r="D54" s="377"/>
    </row>
    <row r="55" spans="1:4">
      <c r="A55" s="296" t="s">
        <v>54</v>
      </c>
      <c r="B55" s="276"/>
      <c r="C55" s="274"/>
      <c r="D55" s="377"/>
    </row>
    <row r="56" spans="1:4" s="329" customFormat="1">
      <c r="A56" s="298" t="s">
        <v>55</v>
      </c>
      <c r="B56" s="299">
        <v>0</v>
      </c>
      <c r="C56" s="300"/>
      <c r="D56" s="425"/>
    </row>
    <row r="57" spans="1:4">
      <c r="A57" s="296" t="s">
        <v>56</v>
      </c>
      <c r="B57" s="262">
        <v>0</v>
      </c>
      <c r="C57" s="301"/>
      <c r="D57" s="377"/>
    </row>
    <row r="58" spans="1:4">
      <c r="A58" s="296" t="s">
        <v>57</v>
      </c>
      <c r="B58" s="262"/>
      <c r="C58" s="301"/>
      <c r="D58" s="377"/>
    </row>
    <row r="59" spans="1:4">
      <c r="A59" s="296" t="s">
        <v>58</v>
      </c>
      <c r="B59" s="262"/>
      <c r="C59" s="301"/>
      <c r="D59" s="377"/>
    </row>
    <row r="60" spans="1:4">
      <c r="A60" s="296" t="s">
        <v>59</v>
      </c>
      <c r="B60" s="262"/>
      <c r="C60" s="301"/>
      <c r="D60" s="377"/>
    </row>
    <row r="61" spans="1:4">
      <c r="A61" s="302" t="s">
        <v>60</v>
      </c>
      <c r="B61" s="307">
        <f>B56+B57</f>
        <v>0</v>
      </c>
      <c r="C61" s="301"/>
      <c r="D61" s="377"/>
    </row>
    <row r="62" spans="1:4">
      <c r="A62" s="303" t="s">
        <v>61</v>
      </c>
      <c r="B62" s="407">
        <f>3.051*(B13+B12)</f>
        <v>12906.035100000001</v>
      </c>
      <c r="C62" s="539" t="s">
        <v>804</v>
      </c>
      <c r="D62" s="377"/>
    </row>
    <row r="63" spans="1:4">
      <c r="A63" s="460" t="s">
        <v>62</v>
      </c>
      <c r="B63" s="407">
        <f>1.54*(B13+B12)</f>
        <v>6514.3540000000003</v>
      </c>
      <c r="C63" s="540" t="s">
        <v>805</v>
      </c>
      <c r="D63" s="377"/>
    </row>
    <row r="64" spans="1:4">
      <c r="A64" s="264" t="s">
        <v>63</v>
      </c>
      <c r="B64" s="440">
        <f>(B48+B54)*0.348</f>
        <v>147019.32292130045</v>
      </c>
      <c r="C64" s="381" t="s">
        <v>514</v>
      </c>
      <c r="D64" s="377"/>
    </row>
    <row r="65" spans="1:4" ht="45">
      <c r="A65" s="264" t="s">
        <v>121</v>
      </c>
      <c r="B65" s="304">
        <f>(B48+B54+B64)*0.132</f>
        <v>75172.500699208395</v>
      </c>
      <c r="C65" s="589" t="s">
        <v>225</v>
      </c>
      <c r="D65" s="377" t="s">
        <v>85</v>
      </c>
    </row>
    <row r="66" spans="1:4">
      <c r="A66" s="127" t="s">
        <v>122</v>
      </c>
      <c r="B66" s="307">
        <f>B62+B63+B64+B65</f>
        <v>241612.21272050886</v>
      </c>
      <c r="C66" s="301"/>
      <c r="D66" s="377"/>
    </row>
    <row r="67" spans="1:4">
      <c r="A67" s="264" t="s">
        <v>64</v>
      </c>
      <c r="B67" s="262">
        <f>(B48+B54+B61+B66)*3%</f>
        <v>19922.445943796338</v>
      </c>
      <c r="C67" s="301"/>
      <c r="D67" s="377"/>
    </row>
    <row r="68" spans="1:4">
      <c r="A68" s="127" t="s">
        <v>26</v>
      </c>
      <c r="B68" s="357">
        <f>B48+B54+B61+B66+B67</f>
        <v>684003.97740367427</v>
      </c>
      <c r="C68" s="306"/>
      <c r="D68" s="377"/>
    </row>
    <row r="69" spans="1:4">
      <c r="A69" s="127" t="s">
        <v>65</v>
      </c>
      <c r="B69" s="357">
        <f>B68*1.2</f>
        <v>820804.77288440906</v>
      </c>
      <c r="C69" s="306"/>
      <c r="D69" s="377"/>
    </row>
    <row r="70" spans="1:4">
      <c r="A70" s="303"/>
      <c r="B70" s="307">
        <f>B35-B69</f>
        <v>-140812.11288440903</v>
      </c>
      <c r="C70" s="308"/>
      <c r="D70" s="377"/>
    </row>
    <row r="71" spans="1:4" ht="30">
      <c r="A71" s="445" t="s">
        <v>123</v>
      </c>
      <c r="B71" s="585">
        <f>B69/(B12+B13)/12</f>
        <v>16.169924526693794</v>
      </c>
      <c r="C71" s="447" t="s">
        <v>794</v>
      </c>
      <c r="D71" s="448"/>
    </row>
    <row r="72" spans="1:4">
      <c r="A72" s="591"/>
      <c r="D72" s="591"/>
    </row>
    <row r="73" spans="1:4">
      <c r="A73" s="799" t="s">
        <v>124</v>
      </c>
      <c r="B73" s="799"/>
      <c r="C73" s="799"/>
      <c r="D73" s="591"/>
    </row>
    <row r="74" spans="1:4" ht="31.5" customHeight="1">
      <c r="A74" s="800" t="s">
        <v>518</v>
      </c>
      <c r="B74" s="800"/>
      <c r="C74" s="800"/>
      <c r="D74" s="591"/>
    </row>
    <row r="75" spans="1:4" ht="31.5" customHeight="1">
      <c r="A75" s="800" t="s">
        <v>519</v>
      </c>
      <c r="B75" s="800"/>
      <c r="C75" s="800"/>
      <c r="D75" s="591"/>
    </row>
    <row r="76" spans="1:4">
      <c r="A76" s="160"/>
      <c r="B76" s="453"/>
      <c r="C76" s="193"/>
    </row>
    <row r="77" spans="1:4">
      <c r="A77" s="797" t="s">
        <v>505</v>
      </c>
      <c r="B77" s="797"/>
      <c r="C77" s="797"/>
    </row>
    <row r="78" spans="1:4">
      <c r="A78" s="193"/>
      <c r="B78" s="193"/>
      <c r="C78" s="193"/>
    </row>
    <row r="87" spans="1:4" s="65" customFormat="1">
      <c r="A87" s="66"/>
      <c r="B87" s="66"/>
      <c r="C87" s="66"/>
      <c r="D87" s="66"/>
    </row>
    <row r="88" spans="1:4" s="65" customFormat="1">
      <c r="A88" s="66"/>
      <c r="B88" s="66"/>
      <c r="C88" s="66"/>
      <c r="D88" s="66"/>
    </row>
    <row r="89" spans="1:4" s="65" customFormat="1">
      <c r="A89" s="66"/>
      <c r="B89" s="66"/>
      <c r="C89" s="66"/>
      <c r="D89" s="66"/>
    </row>
    <row r="90" spans="1:4" s="65" customFormat="1">
      <c r="A90" s="66"/>
      <c r="B90" s="66"/>
      <c r="C90" s="66"/>
      <c r="D90" s="66"/>
    </row>
    <row r="91" spans="1:4" s="65" customFormat="1">
      <c r="A91" s="66"/>
      <c r="B91" s="66"/>
      <c r="C91" s="66"/>
      <c r="D91" s="66"/>
    </row>
    <row r="92" spans="1:4" s="65" customFormat="1">
      <c r="A92" s="66"/>
      <c r="B92" s="66"/>
      <c r="C92" s="66"/>
      <c r="D92" s="66"/>
    </row>
    <row r="93" spans="1:4" s="65" customFormat="1">
      <c r="A93" s="66"/>
      <c r="B93" s="66"/>
      <c r="C93" s="66"/>
      <c r="D93" s="66"/>
    </row>
    <row r="94" spans="1:4" s="65" customFormat="1">
      <c r="A94" s="66"/>
      <c r="B94" s="66"/>
      <c r="C94" s="66"/>
      <c r="D94" s="66"/>
    </row>
  </sheetData>
  <mergeCells count="6">
    <mergeCell ref="A77:C77"/>
    <mergeCell ref="A8:D8"/>
    <mergeCell ref="A9:D10"/>
    <mergeCell ref="A73:C73"/>
    <mergeCell ref="A74:C74"/>
    <mergeCell ref="A75:C75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0" verticalDpi="0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</sheetPr>
  <dimension ref="A1:G90"/>
  <sheetViews>
    <sheetView workbookViewId="0">
      <selection activeCell="E58" sqref="E1:G1048576"/>
    </sheetView>
  </sheetViews>
  <sheetFormatPr defaultRowHeight="15"/>
  <cols>
    <col min="1" max="1" width="44.7109375" style="66" customWidth="1"/>
    <col min="2" max="2" width="14.5703125" style="66" customWidth="1"/>
    <col min="3" max="3" width="41.5703125" style="66" customWidth="1"/>
    <col min="4" max="4" width="18.85546875" style="66" customWidth="1"/>
    <col min="5" max="5" width="3.285156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>
      <c r="C1" s="159" t="s">
        <v>0</v>
      </c>
    </row>
    <row r="2" spans="1:7">
      <c r="C2" s="159" t="s">
        <v>216</v>
      </c>
    </row>
    <row r="3" spans="1:7">
      <c r="C3" s="159" t="s">
        <v>189</v>
      </c>
    </row>
    <row r="4" spans="1:7">
      <c r="C4" s="159"/>
    </row>
    <row r="5" spans="1:7">
      <c r="C5" s="159" t="s">
        <v>217</v>
      </c>
    </row>
    <row r="6" spans="1:7">
      <c r="C6" s="193"/>
    </row>
    <row r="7" spans="1:7">
      <c r="C7" s="193"/>
    </row>
    <row r="8" spans="1:7">
      <c r="A8" s="801" t="s">
        <v>478</v>
      </c>
      <c r="B8" s="801"/>
      <c r="C8" s="801"/>
      <c r="D8" s="801"/>
    </row>
    <row r="9" spans="1:7">
      <c r="A9" s="801" t="s">
        <v>808</v>
      </c>
      <c r="B9" s="801"/>
      <c r="C9" s="801"/>
      <c r="D9" s="801"/>
    </row>
    <row r="10" spans="1:7">
      <c r="A10" s="801"/>
      <c r="B10" s="801"/>
      <c r="C10" s="801"/>
      <c r="D10" s="801"/>
    </row>
    <row r="11" spans="1:7">
      <c r="A11" s="237"/>
      <c r="B11" s="237"/>
      <c r="C11" s="237"/>
    </row>
    <row r="12" spans="1:7">
      <c r="A12" s="160" t="s">
        <v>2</v>
      </c>
      <c r="B12" s="238">
        <v>3798.8</v>
      </c>
      <c r="C12" s="463" t="s">
        <v>72</v>
      </c>
    </row>
    <row r="13" spans="1:7" s="59" customFormat="1">
      <c r="A13" s="464" t="s">
        <v>3</v>
      </c>
      <c r="B13" s="240">
        <v>0</v>
      </c>
      <c r="C13" s="241"/>
      <c r="D13" s="242"/>
    </row>
    <row r="14" spans="1:7" s="59" customFormat="1">
      <c r="A14" s="464"/>
      <c r="B14" s="240"/>
      <c r="C14" s="241"/>
      <c r="D14" s="242"/>
    </row>
    <row r="15" spans="1:7" ht="28.5">
      <c r="A15" s="243" t="s">
        <v>4</v>
      </c>
      <c r="B15" s="244" t="s">
        <v>5</v>
      </c>
      <c r="C15" s="245" t="s">
        <v>6</v>
      </c>
      <c r="D15" s="562" t="s">
        <v>84</v>
      </c>
      <c r="F15" s="253" t="s">
        <v>132</v>
      </c>
      <c r="G15" s="254">
        <v>22.71</v>
      </c>
    </row>
    <row r="16" spans="1:7">
      <c r="A16" s="249" t="s">
        <v>7</v>
      </c>
      <c r="B16" s="564">
        <f>B12*G15*12</f>
        <v>1035248.976</v>
      </c>
      <c r="C16" s="385" t="s">
        <v>810</v>
      </c>
      <c r="D16" s="425" t="s">
        <v>85</v>
      </c>
      <c r="F16" s="259" t="s">
        <v>134</v>
      </c>
      <c r="G16" s="260">
        <v>3798.8</v>
      </c>
    </row>
    <row r="17" spans="1:7">
      <c r="A17" s="261" t="s">
        <v>9</v>
      </c>
      <c r="B17" s="262">
        <f>B13</f>
        <v>0</v>
      </c>
      <c r="C17" s="319"/>
      <c r="D17" s="377"/>
      <c r="F17" s="259" t="s">
        <v>135</v>
      </c>
      <c r="G17" s="260">
        <v>72</v>
      </c>
    </row>
    <row r="18" spans="1:7">
      <c r="A18" s="321" t="s">
        <v>12</v>
      </c>
      <c r="B18" s="322">
        <f>B16+B17</f>
        <v>1035248.976</v>
      </c>
      <c r="C18" s="274"/>
      <c r="D18" s="377"/>
      <c r="F18" s="259" t="s">
        <v>136</v>
      </c>
      <c r="G18" s="260">
        <v>200</v>
      </c>
    </row>
    <row r="19" spans="1:7" ht="30">
      <c r="A19" s="275" t="s">
        <v>13</v>
      </c>
      <c r="B19" s="276">
        <f>B20+B21+B22+B23+B24+B25+B26</f>
        <v>5189.76</v>
      </c>
      <c r="C19" s="274"/>
      <c r="D19" s="377"/>
      <c r="F19" s="247" t="s">
        <v>459</v>
      </c>
      <c r="G19" s="248">
        <v>0</v>
      </c>
    </row>
    <row r="20" spans="1:7">
      <c r="A20" s="264" t="s">
        <v>14</v>
      </c>
      <c r="B20" s="276">
        <f>34.98*12</f>
        <v>419.76</v>
      </c>
      <c r="C20" s="274" t="s">
        <v>15</v>
      </c>
      <c r="D20" s="377" t="s">
        <v>85</v>
      </c>
      <c r="F20" s="259" t="s">
        <v>139</v>
      </c>
      <c r="G20" s="260">
        <v>729</v>
      </c>
    </row>
    <row r="21" spans="1:7">
      <c r="A21" s="264" t="s">
        <v>16</v>
      </c>
      <c r="B21" s="276">
        <f>137.5*12*0</f>
        <v>0</v>
      </c>
      <c r="C21" s="274" t="s">
        <v>17</v>
      </c>
      <c r="D21" s="377"/>
      <c r="F21" s="259" t="s">
        <v>140</v>
      </c>
      <c r="G21" s="260">
        <v>2</v>
      </c>
    </row>
    <row r="22" spans="1:7">
      <c r="A22" s="264" t="s">
        <v>18</v>
      </c>
      <c r="B22" s="276">
        <f>123.75*12</f>
        <v>1485</v>
      </c>
      <c r="C22" s="274" t="s">
        <v>19</v>
      </c>
      <c r="D22" s="377" t="s">
        <v>85</v>
      </c>
      <c r="F22" s="259" t="s">
        <v>141</v>
      </c>
      <c r="G22" s="260">
        <v>2</v>
      </c>
    </row>
    <row r="23" spans="1:7">
      <c r="A23" s="264" t="s">
        <v>20</v>
      </c>
      <c r="B23" s="276">
        <f>123.75*12</f>
        <v>1485</v>
      </c>
      <c r="C23" s="274" t="s">
        <v>19</v>
      </c>
      <c r="D23" s="377" t="s">
        <v>85</v>
      </c>
      <c r="F23" s="259" t="s">
        <v>142</v>
      </c>
      <c r="G23" s="260">
        <v>1082.7</v>
      </c>
    </row>
    <row r="24" spans="1:7">
      <c r="A24" s="264" t="s">
        <v>66</v>
      </c>
      <c r="B24" s="276">
        <f>150*12</f>
        <v>1800</v>
      </c>
      <c r="C24" s="274" t="s">
        <v>21</v>
      </c>
      <c r="D24" s="377" t="s">
        <v>85</v>
      </c>
      <c r="F24" s="259" t="s">
        <v>143</v>
      </c>
      <c r="G24" s="277">
        <v>1866.6</v>
      </c>
    </row>
    <row r="25" spans="1:7">
      <c r="A25" s="264" t="s">
        <v>22</v>
      </c>
      <c r="B25" s="276">
        <f>137.5*12*0</f>
        <v>0</v>
      </c>
      <c r="C25" s="274" t="s">
        <v>17</v>
      </c>
      <c r="D25" s="377"/>
      <c r="F25" s="259" t="s">
        <v>144</v>
      </c>
      <c r="G25" s="278">
        <v>0</v>
      </c>
    </row>
    <row r="26" spans="1:7">
      <c r="A26" s="264" t="s">
        <v>23</v>
      </c>
      <c r="B26" s="276">
        <f>150*12*0</f>
        <v>0</v>
      </c>
      <c r="C26" s="274" t="s">
        <v>21</v>
      </c>
      <c r="D26" s="377"/>
      <c r="F26" s="259" t="s">
        <v>145</v>
      </c>
      <c r="G26" s="278">
        <v>482.11</v>
      </c>
    </row>
    <row r="27" spans="1:7">
      <c r="A27" s="275" t="s">
        <v>24</v>
      </c>
      <c r="B27" s="276">
        <f>B28</f>
        <v>0</v>
      </c>
      <c r="C27" s="274"/>
      <c r="D27" s="377"/>
      <c r="F27" s="259" t="s">
        <v>460</v>
      </c>
      <c r="G27" s="278">
        <v>9.3699999999999992</v>
      </c>
    </row>
    <row r="28" spans="1:7">
      <c r="A28" s="264"/>
      <c r="B28" s="276"/>
      <c r="C28" s="274"/>
      <c r="D28" s="377"/>
      <c r="F28" s="259" t="s">
        <v>461</v>
      </c>
      <c r="G28" s="278">
        <f>(G23/3+G24)/2920</f>
        <v>0.76284246575342463</v>
      </c>
    </row>
    <row r="29" spans="1:7">
      <c r="A29" s="292" t="s">
        <v>26</v>
      </c>
      <c r="B29" s="322">
        <f>B18+B19+B27</f>
        <v>1040438.736</v>
      </c>
      <c r="C29" s="274"/>
      <c r="D29" s="377"/>
      <c r="F29" s="259" t="s">
        <v>148</v>
      </c>
      <c r="G29" s="278">
        <f>72/144</f>
        <v>0.5</v>
      </c>
    </row>
    <row r="30" spans="1:7">
      <c r="A30" s="244" t="s">
        <v>27</v>
      </c>
      <c r="B30" s="281" t="s">
        <v>5</v>
      </c>
      <c r="C30" s="282" t="s">
        <v>28</v>
      </c>
      <c r="D30" s="377"/>
      <c r="F30" s="259" t="s">
        <v>149</v>
      </c>
      <c r="G30" s="279">
        <f>(113.4+1916.6)/820</f>
        <v>2.475609756097561</v>
      </c>
    </row>
    <row r="31" spans="1:7">
      <c r="A31" s="283" t="s">
        <v>29</v>
      </c>
      <c r="B31" s="262"/>
      <c r="C31" s="284"/>
      <c r="D31" s="377"/>
      <c r="F31" s="247" t="s">
        <v>151</v>
      </c>
      <c r="G31" s="279">
        <v>9</v>
      </c>
    </row>
    <row r="32" spans="1:7" ht="60">
      <c r="A32" s="496" t="s">
        <v>30</v>
      </c>
      <c r="B32" s="340">
        <f>(G28*(3708+200)*1.5*1.15*1.083*1.302*6)+G28*((3708+200)*1.5*1.15*1.083*1.302*6)+(0.104*G23*12)</f>
        <v>88367.227050902031</v>
      </c>
      <c r="C32" s="341" t="s">
        <v>811</v>
      </c>
      <c r="D32" s="288" t="s">
        <v>86</v>
      </c>
      <c r="F32" s="247" t="s">
        <v>462</v>
      </c>
      <c r="G32" s="279">
        <v>602</v>
      </c>
    </row>
    <row r="33" spans="1:7" ht="30">
      <c r="A33" s="287" t="s">
        <v>31</v>
      </c>
      <c r="B33" s="342">
        <f>(G30*9921.13*6)+(G30*10317.11*6)</f>
        <v>300611.90634146344</v>
      </c>
      <c r="C33" s="343" t="s">
        <v>812</v>
      </c>
      <c r="D33" s="258"/>
      <c r="F33" s="289" t="s">
        <v>464</v>
      </c>
      <c r="G33" s="290">
        <v>15101</v>
      </c>
    </row>
    <row r="34" spans="1:7" ht="30">
      <c r="A34" s="287" t="s">
        <v>32</v>
      </c>
      <c r="B34" s="498">
        <f>(G29*9921.13*6)+(G29*10317.11*6)+(G17*10.41812*12)*G22</f>
        <v>78717.231360000005</v>
      </c>
      <c r="C34" s="344" t="s">
        <v>625</v>
      </c>
      <c r="D34" s="258"/>
      <c r="F34" s="247" t="s">
        <v>465</v>
      </c>
      <c r="G34" s="279">
        <v>1</v>
      </c>
    </row>
    <row r="35" spans="1:7">
      <c r="A35" s="287" t="s">
        <v>34</v>
      </c>
      <c r="B35" s="345">
        <f>(16.06+16.7)*G17</f>
        <v>2358.7199999999998</v>
      </c>
      <c r="C35" s="346" t="s">
        <v>626</v>
      </c>
      <c r="D35" s="258" t="s">
        <v>88</v>
      </c>
      <c r="F35" s="247" t="s">
        <v>467</v>
      </c>
      <c r="G35" s="279">
        <v>2</v>
      </c>
    </row>
    <row r="36" spans="1:7" ht="30">
      <c r="A36" s="287" t="s">
        <v>35</v>
      </c>
      <c r="B36" s="345">
        <f>(49.72+51.71)*2*0</f>
        <v>0</v>
      </c>
      <c r="C36" s="346" t="s">
        <v>469</v>
      </c>
      <c r="D36" s="258"/>
      <c r="F36" s="285"/>
      <c r="G36" s="286"/>
    </row>
    <row r="37" spans="1:7">
      <c r="A37" s="287" t="s">
        <v>36</v>
      </c>
      <c r="B37" s="347">
        <f>0.25*G32*12</f>
        <v>1806</v>
      </c>
      <c r="C37" s="348" t="s">
        <v>813</v>
      </c>
      <c r="D37" s="258" t="s">
        <v>85</v>
      </c>
    </row>
    <row r="38" spans="1:7">
      <c r="A38" s="291" t="s">
        <v>37</v>
      </c>
      <c r="B38" s="345">
        <f>2.34*G32*4</f>
        <v>5634.7199999999993</v>
      </c>
      <c r="C38" s="251" t="s">
        <v>814</v>
      </c>
      <c r="D38" s="258" t="s">
        <v>89</v>
      </c>
    </row>
    <row r="39" spans="1:7">
      <c r="A39" s="417" t="s">
        <v>158</v>
      </c>
      <c r="B39" s="427">
        <f>0*12</f>
        <v>0</v>
      </c>
      <c r="C39" s="394" t="s">
        <v>197</v>
      </c>
      <c r="D39" s="377"/>
    </row>
    <row r="40" spans="1:7" ht="30">
      <c r="A40" s="417" t="s">
        <v>67</v>
      </c>
      <c r="B40" s="381">
        <f>(635.59*6+661.01*6)*G34</f>
        <v>7779.6</v>
      </c>
      <c r="C40" s="385" t="s">
        <v>496</v>
      </c>
      <c r="D40" s="377" t="s">
        <v>85</v>
      </c>
    </row>
    <row r="41" spans="1:7" ht="30">
      <c r="A41" s="417" t="s">
        <v>190</v>
      </c>
      <c r="B41" s="418">
        <f>(466.1*6+484.74*6)*G19</f>
        <v>0</v>
      </c>
      <c r="C41" s="385" t="s">
        <v>497</v>
      </c>
      <c r="D41" s="377" t="s">
        <v>85</v>
      </c>
    </row>
    <row r="42" spans="1:7">
      <c r="A42" s="385" t="s">
        <v>529</v>
      </c>
      <c r="B42" s="383">
        <f>3750*12*2</f>
        <v>90000</v>
      </c>
      <c r="C42" s="417" t="s">
        <v>607</v>
      </c>
      <c r="D42" s="504" t="s">
        <v>85</v>
      </c>
    </row>
    <row r="43" spans="1:7">
      <c r="A43" s="385" t="s">
        <v>530</v>
      </c>
      <c r="B43" s="383">
        <f>4190*2</f>
        <v>8380</v>
      </c>
      <c r="C43" s="417" t="s">
        <v>605</v>
      </c>
      <c r="D43" s="505" t="s">
        <v>532</v>
      </c>
    </row>
    <row r="44" spans="1:7" ht="15.75">
      <c r="A44" s="507" t="s">
        <v>47</v>
      </c>
      <c r="B44" s="492">
        <f>SUM(B32:B43)</f>
        <v>583655.40475236543</v>
      </c>
      <c r="C44" s="509"/>
      <c r="D44" s="477"/>
    </row>
    <row r="45" spans="1:7" s="328" customFormat="1">
      <c r="A45" s="496" t="s">
        <v>48</v>
      </c>
      <c r="B45" s="487"/>
      <c r="C45" s="485"/>
      <c r="D45" s="477"/>
    </row>
    <row r="46" spans="1:7" ht="45">
      <c r="A46" s="421" t="s">
        <v>49</v>
      </c>
      <c r="B46" s="413">
        <f>(G27*100.2134*6)+(G27*104.2268)+(1.71*(B12+B13)*12)</f>
        <v>84561.978464</v>
      </c>
      <c r="C46" s="422" t="s">
        <v>815</v>
      </c>
      <c r="D46" s="423"/>
    </row>
    <row r="47" spans="1:7" ht="120">
      <c r="A47" s="426" t="s">
        <v>120</v>
      </c>
      <c r="B47" s="427">
        <f>17.51*(B13+B12)</f>
        <v>66516.988000000012</v>
      </c>
      <c r="C47" s="428" t="s">
        <v>816</v>
      </c>
      <c r="D47" s="377"/>
    </row>
    <row r="48" spans="1:7" ht="63">
      <c r="A48" s="456" t="s">
        <v>51</v>
      </c>
      <c r="B48" s="457">
        <f>(654.11+263.56/3)*G33/1000</f>
        <v>11204.388296666666</v>
      </c>
      <c r="C48" s="458" t="s">
        <v>819</v>
      </c>
      <c r="D48" s="459" t="s">
        <v>91</v>
      </c>
    </row>
    <row r="49" spans="1:4" ht="60">
      <c r="A49" s="430" t="s">
        <v>52</v>
      </c>
      <c r="B49" s="431">
        <f>((G26/12*6*100.2134)+(G26/12*6*104.2268))+((G26/12*6*100.2134)+(G26/12*6*104.2268))/1.302*25%</f>
        <v>58743.953841683557</v>
      </c>
      <c r="C49" s="422" t="s">
        <v>820</v>
      </c>
      <c r="D49" s="377"/>
    </row>
    <row r="50" spans="1:4">
      <c r="A50" s="302" t="s">
        <v>53</v>
      </c>
      <c r="B50" s="322">
        <f>B45+B46+B47+B48+B49</f>
        <v>221027.30860235024</v>
      </c>
      <c r="C50" s="274"/>
      <c r="D50" s="377"/>
    </row>
    <row r="51" spans="1:4">
      <c r="A51" s="296" t="s">
        <v>54</v>
      </c>
      <c r="B51" s="276"/>
      <c r="C51" s="274"/>
      <c r="D51" s="377"/>
    </row>
    <row r="52" spans="1:4" s="329" customFormat="1">
      <c r="A52" s="298" t="s">
        <v>55</v>
      </c>
      <c r="B52" s="299">
        <v>0</v>
      </c>
      <c r="C52" s="300"/>
      <c r="D52" s="425"/>
    </row>
    <row r="53" spans="1:4">
      <c r="A53" s="296" t="s">
        <v>56</v>
      </c>
      <c r="B53" s="262">
        <v>0</v>
      </c>
      <c r="C53" s="301"/>
      <c r="D53" s="377"/>
    </row>
    <row r="54" spans="1:4">
      <c r="A54" s="296" t="s">
        <v>57</v>
      </c>
      <c r="B54" s="262"/>
      <c r="C54" s="301"/>
      <c r="D54" s="377"/>
    </row>
    <row r="55" spans="1:4">
      <c r="A55" s="296" t="s">
        <v>58</v>
      </c>
      <c r="B55" s="262"/>
      <c r="C55" s="301"/>
      <c r="D55" s="377"/>
    </row>
    <row r="56" spans="1:4">
      <c r="A56" s="296" t="s">
        <v>59</v>
      </c>
      <c r="B56" s="262"/>
      <c r="C56" s="301"/>
      <c r="D56" s="377"/>
    </row>
    <row r="57" spans="1:4">
      <c r="A57" s="302" t="s">
        <v>60</v>
      </c>
      <c r="B57" s="307">
        <f>B52+B53</f>
        <v>0</v>
      </c>
      <c r="C57" s="301"/>
      <c r="D57" s="377"/>
    </row>
    <row r="58" spans="1:4">
      <c r="A58" s="303" t="s">
        <v>61</v>
      </c>
      <c r="B58" s="407">
        <f>3.051*(B12+B13)</f>
        <v>11590.138800000001</v>
      </c>
      <c r="C58" s="539" t="s">
        <v>817</v>
      </c>
      <c r="D58" s="377"/>
    </row>
    <row r="59" spans="1:4">
      <c r="A59" s="460" t="s">
        <v>62</v>
      </c>
      <c r="B59" s="407">
        <f>1.54*(B12+B13)</f>
        <v>5850.152</v>
      </c>
      <c r="C59" s="540" t="s">
        <v>818</v>
      </c>
      <c r="D59" s="377"/>
    </row>
    <row r="60" spans="1:4">
      <c r="A60" s="264" t="s">
        <v>63</v>
      </c>
      <c r="B60" s="440">
        <f>(B44+B50)*0.348</f>
        <v>280029.58424744103</v>
      </c>
      <c r="C60" s="381" t="s">
        <v>514</v>
      </c>
      <c r="D60" s="377"/>
    </row>
    <row r="61" spans="1:4" ht="30">
      <c r="A61" s="264" t="s">
        <v>121</v>
      </c>
      <c r="B61" s="304">
        <f>(B44+B50+B60)*0.132</f>
        <v>143182.02328348468</v>
      </c>
      <c r="C61" s="589" t="s">
        <v>225</v>
      </c>
      <c r="D61" s="377" t="s">
        <v>85</v>
      </c>
    </row>
    <row r="62" spans="1:4">
      <c r="A62" s="127" t="s">
        <v>122</v>
      </c>
      <c r="B62" s="307">
        <f>B58+B59+B60+B61</f>
        <v>440651.89833092573</v>
      </c>
      <c r="C62" s="301"/>
      <c r="D62" s="377"/>
    </row>
    <row r="63" spans="1:4">
      <c r="A63" s="264" t="s">
        <v>64</v>
      </c>
      <c r="B63" s="262">
        <f>(B44+B50+B57+B62)*3%</f>
        <v>37360.038350569237</v>
      </c>
      <c r="C63" s="301"/>
      <c r="D63" s="377"/>
    </row>
    <row r="64" spans="1:4">
      <c r="A64" s="127" t="s">
        <v>26</v>
      </c>
      <c r="B64" s="357">
        <f>B44+B50+B57+B62+B63</f>
        <v>1282694.6500362107</v>
      </c>
      <c r="C64" s="306"/>
      <c r="D64" s="377"/>
    </row>
    <row r="65" spans="1:4">
      <c r="A65" s="127" t="s">
        <v>65</v>
      </c>
      <c r="B65" s="357">
        <f>B64*1.2</f>
        <v>1539233.5800434528</v>
      </c>
      <c r="C65" s="306"/>
      <c r="D65" s="377"/>
    </row>
    <row r="66" spans="1:4">
      <c r="A66" s="303"/>
      <c r="B66" s="307">
        <f>B29-B65</f>
        <v>-498794.84404345276</v>
      </c>
      <c r="C66" s="308"/>
      <c r="D66" s="377"/>
    </row>
    <row r="67" spans="1:4" ht="30">
      <c r="A67" s="445" t="s">
        <v>123</v>
      </c>
      <c r="B67" s="585">
        <f>B65/(B12+B13)/12</f>
        <v>33.765785248926257</v>
      </c>
      <c r="C67" s="447" t="s">
        <v>809</v>
      </c>
      <c r="D67" s="448"/>
    </row>
    <row r="68" spans="1:4">
      <c r="A68" s="591"/>
      <c r="D68" s="591"/>
    </row>
    <row r="69" spans="1:4" ht="15" customHeight="1">
      <c r="A69" s="799" t="s">
        <v>124</v>
      </c>
      <c r="B69" s="799"/>
      <c r="C69" s="799"/>
      <c r="D69" s="591"/>
    </row>
    <row r="70" spans="1:4" ht="36" customHeight="1">
      <c r="A70" s="800" t="s">
        <v>518</v>
      </c>
      <c r="B70" s="800"/>
      <c r="C70" s="800"/>
      <c r="D70" s="594"/>
    </row>
    <row r="71" spans="1:4" ht="36" customHeight="1">
      <c r="A71" s="800" t="s">
        <v>519</v>
      </c>
      <c r="B71" s="800"/>
      <c r="C71" s="800"/>
      <c r="D71" s="594"/>
    </row>
    <row r="72" spans="1:4">
      <c r="A72" s="160"/>
      <c r="B72" s="453"/>
      <c r="C72" s="193"/>
      <c r="D72" s="591"/>
    </row>
    <row r="73" spans="1:4">
      <c r="A73" s="797" t="s">
        <v>505</v>
      </c>
      <c r="B73" s="797"/>
      <c r="C73" s="797"/>
      <c r="D73" s="591"/>
    </row>
    <row r="74" spans="1:4">
      <c r="A74" s="193"/>
      <c r="B74" s="193"/>
      <c r="C74" s="193"/>
    </row>
    <row r="83" spans="1:4" s="65" customFormat="1">
      <c r="A83" s="66"/>
      <c r="B83" s="66"/>
      <c r="C83" s="66"/>
      <c r="D83" s="66"/>
    </row>
    <row r="84" spans="1:4" s="65" customFormat="1">
      <c r="A84" s="66"/>
      <c r="B84" s="66"/>
      <c r="C84" s="66"/>
      <c r="D84" s="66"/>
    </row>
    <row r="85" spans="1:4" s="65" customFormat="1">
      <c r="A85" s="66"/>
      <c r="B85" s="66"/>
      <c r="C85" s="66"/>
      <c r="D85" s="66"/>
    </row>
    <row r="86" spans="1:4" s="65" customFormat="1">
      <c r="A86" s="66"/>
      <c r="B86" s="66"/>
      <c r="C86" s="66"/>
      <c r="D86" s="66"/>
    </row>
    <row r="87" spans="1:4" s="65" customFormat="1">
      <c r="A87" s="66"/>
      <c r="B87" s="66"/>
      <c r="C87" s="66"/>
      <c r="D87" s="66"/>
    </row>
    <row r="88" spans="1:4" s="65" customFormat="1">
      <c r="A88" s="66"/>
      <c r="B88" s="66"/>
      <c r="C88" s="66"/>
      <c r="D88" s="66"/>
    </row>
    <row r="89" spans="1:4" s="65" customFormat="1">
      <c r="A89" s="66"/>
      <c r="B89" s="66"/>
      <c r="C89" s="66"/>
      <c r="D89" s="66"/>
    </row>
    <row r="90" spans="1:4" s="65" customFormat="1">
      <c r="A90" s="66"/>
      <c r="B90" s="66"/>
      <c r="C90" s="66"/>
      <c r="D90" s="66"/>
    </row>
  </sheetData>
  <mergeCells count="6">
    <mergeCell ref="A73:C73"/>
    <mergeCell ref="A8:D8"/>
    <mergeCell ref="A9:D10"/>
    <mergeCell ref="A69:C69"/>
    <mergeCell ref="A70:C70"/>
    <mergeCell ref="A71:C71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0" verticalDpi="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F0"/>
  </sheetPr>
  <dimension ref="A1:G93"/>
  <sheetViews>
    <sheetView workbookViewId="0">
      <selection activeCell="E1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6.28515625" style="66" customWidth="1"/>
    <col min="4" max="4" width="21.140625" style="67" customWidth="1"/>
    <col min="5" max="5" width="3.5703125" style="21" hidden="1" customWidth="1"/>
    <col min="6" max="6" width="26.7109375" style="21" hidden="1" customWidth="1"/>
    <col min="7" max="7" width="8.42578125" style="21" hidden="1" customWidth="1"/>
    <col min="8" max="16384" width="9.140625" style="21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32.25" customHeight="1">
      <c r="A8" s="798" t="s">
        <v>478</v>
      </c>
      <c r="B8" s="798"/>
      <c r="C8" s="798"/>
      <c r="D8" s="798"/>
    </row>
    <row r="9" spans="1:7" ht="15" customHeight="1">
      <c r="A9" s="798" t="s">
        <v>95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f>G16</f>
        <v>3816.2</v>
      </c>
      <c r="C12" s="76" t="s">
        <v>72</v>
      </c>
    </row>
    <row r="13" spans="1:7" s="22" customFormat="1" ht="15.75">
      <c r="A13" s="77" t="s">
        <v>3</v>
      </c>
      <c r="B13" s="78">
        <v>0</v>
      </c>
      <c r="C13" s="79"/>
      <c r="D13" s="80"/>
    </row>
    <row r="14" spans="1:7" s="22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22.29</v>
      </c>
    </row>
    <row r="16" spans="1:7">
      <c r="A16" s="85" t="s">
        <v>7</v>
      </c>
      <c r="B16" s="149">
        <f>B12*G15*12</f>
        <v>1020757.176</v>
      </c>
      <c r="C16" s="207" t="s">
        <v>821</v>
      </c>
      <c r="D16" s="86" t="s">
        <v>85</v>
      </c>
      <c r="F16" s="259" t="s">
        <v>134</v>
      </c>
      <c r="G16" s="260">
        <v>3816.2</v>
      </c>
    </row>
    <row r="17" spans="1:7">
      <c r="A17" s="91" t="s">
        <v>9</v>
      </c>
      <c r="B17" s="88">
        <f>B13</f>
        <v>0</v>
      </c>
      <c r="C17" s="89"/>
      <c r="D17" s="90"/>
      <c r="F17" s="259" t="s">
        <v>135</v>
      </c>
      <c r="G17" s="260">
        <v>72</v>
      </c>
    </row>
    <row r="18" spans="1:7" ht="15.75">
      <c r="A18" s="95" t="s">
        <v>12</v>
      </c>
      <c r="B18" s="586">
        <f>B16+B17</f>
        <v>1020757.176</v>
      </c>
      <c r="C18" s="96"/>
      <c r="D18" s="90"/>
      <c r="F18" s="259" t="s">
        <v>136</v>
      </c>
      <c r="G18" s="260">
        <v>227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644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2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2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1100.0999999999999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1806.5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477.69</v>
      </c>
    </row>
    <row r="27" spans="1:7">
      <c r="A27" s="97" t="s">
        <v>24</v>
      </c>
      <c r="B27" s="1">
        <f>B28</f>
        <v>0</v>
      </c>
      <c r="C27" s="96"/>
      <c r="D27" s="90"/>
      <c r="F27" s="259" t="s">
        <v>460</v>
      </c>
      <c r="G27" s="278">
        <v>8.85</v>
      </c>
    </row>
    <row r="28" spans="1:7">
      <c r="A28" s="68"/>
      <c r="B28" s="1"/>
      <c r="C28" s="96"/>
      <c r="D28" s="90"/>
      <c r="F28" s="259" t="s">
        <v>461</v>
      </c>
      <c r="G28" s="278">
        <f>(G23/3+G24)/2920</f>
        <v>0.74424657534246574</v>
      </c>
    </row>
    <row r="29" spans="1:7" ht="18.75">
      <c r="A29" s="98" t="s">
        <v>26</v>
      </c>
      <c r="B29" s="99">
        <f>B18+B19+B27</f>
        <v>1025946.936</v>
      </c>
      <c r="C29" s="96"/>
      <c r="D29" s="90"/>
      <c r="F29" s="259" t="s">
        <v>148</v>
      </c>
      <c r="G29" s="278">
        <f>72/144</f>
        <v>0.5</v>
      </c>
    </row>
    <row r="30" spans="1:7" ht="15.75">
      <c r="A30" s="82" t="s">
        <v>27</v>
      </c>
      <c r="B30" s="100" t="s">
        <v>5</v>
      </c>
      <c r="C30" s="101" t="s">
        <v>28</v>
      </c>
      <c r="D30" s="90"/>
      <c r="F30" s="259" t="s">
        <v>149</v>
      </c>
      <c r="G30" s="279">
        <f>(270.5+163.8)/820</f>
        <v>0.52963414634146344</v>
      </c>
    </row>
    <row r="31" spans="1:7">
      <c r="A31" s="102" t="s">
        <v>29</v>
      </c>
      <c r="B31" s="88"/>
      <c r="C31" s="103"/>
      <c r="D31" s="90"/>
      <c r="F31" s="247" t="s">
        <v>151</v>
      </c>
      <c r="G31" s="279">
        <v>9</v>
      </c>
    </row>
    <row r="32" spans="1:7" ht="75">
      <c r="A32" s="496" t="s">
        <v>30</v>
      </c>
      <c r="B32" s="340">
        <f>(G28*(3708+200)*1.5*1.15*1.083*1.302*6)+G28*((3708+200)*1.5*1.15*1.083*1.302*6)+(0.104*G23*12)</f>
        <v>86267.743711021481</v>
      </c>
      <c r="C32" s="341" t="s">
        <v>822</v>
      </c>
      <c r="D32" s="288" t="s">
        <v>86</v>
      </c>
      <c r="F32" s="247" t="s">
        <v>462</v>
      </c>
      <c r="G32" s="279">
        <v>481.5</v>
      </c>
    </row>
    <row r="33" spans="1:7" ht="30">
      <c r="A33" s="287" t="s">
        <v>31</v>
      </c>
      <c r="B33" s="342">
        <f>(G30*9921.13*6)+(G30*10317.11*6)</f>
        <v>64313.177795121956</v>
      </c>
      <c r="C33" s="343" t="s">
        <v>823</v>
      </c>
      <c r="D33" s="258"/>
      <c r="F33" s="289" t="s">
        <v>464</v>
      </c>
      <c r="G33" s="290">
        <v>16275</v>
      </c>
    </row>
    <row r="34" spans="1:7" ht="45">
      <c r="A34" s="287" t="s">
        <v>32</v>
      </c>
      <c r="B34" s="498">
        <f>(G29*9921.13*6)+(G29*10317.11*6)+(G17*10.41812*12)*G22</f>
        <v>78717.231360000005</v>
      </c>
      <c r="C34" s="344" t="s">
        <v>625</v>
      </c>
      <c r="D34" s="258"/>
      <c r="F34" s="247" t="s">
        <v>465</v>
      </c>
      <c r="G34" s="279">
        <v>1</v>
      </c>
    </row>
    <row r="35" spans="1:7">
      <c r="A35" s="287" t="s">
        <v>34</v>
      </c>
      <c r="B35" s="345">
        <f>(16.06+16.7)*G17</f>
        <v>2358.7199999999998</v>
      </c>
      <c r="C35" s="346" t="s">
        <v>626</v>
      </c>
      <c r="D35" s="258" t="s">
        <v>88</v>
      </c>
      <c r="F35" s="247" t="s">
        <v>467</v>
      </c>
      <c r="G35" s="279">
        <v>2</v>
      </c>
    </row>
    <row r="36" spans="1:7" ht="36.75" customHeight="1">
      <c r="A36" s="287" t="s">
        <v>35</v>
      </c>
      <c r="B36" s="345">
        <f>(49.72+51.71)*2*0</f>
        <v>0</v>
      </c>
      <c r="C36" s="346" t="s">
        <v>469</v>
      </c>
      <c r="D36" s="258"/>
    </row>
    <row r="37" spans="1:7">
      <c r="A37" s="287" t="s">
        <v>36</v>
      </c>
      <c r="B37" s="347">
        <f>0.25*G32*12</f>
        <v>1444.5</v>
      </c>
      <c r="C37" s="348" t="s">
        <v>824</v>
      </c>
      <c r="D37" s="258" t="s">
        <v>85</v>
      </c>
    </row>
    <row r="38" spans="1:7">
      <c r="A38" s="291" t="s">
        <v>37</v>
      </c>
      <c r="B38" s="345">
        <f>2.34*G32*4</f>
        <v>4506.84</v>
      </c>
      <c r="C38" s="251" t="s">
        <v>825</v>
      </c>
      <c r="D38" s="258" t="s">
        <v>89</v>
      </c>
    </row>
    <row r="39" spans="1:7">
      <c r="A39" s="417" t="s">
        <v>158</v>
      </c>
      <c r="B39" s="427">
        <f>0*12</f>
        <v>0</v>
      </c>
      <c r="C39" s="394" t="s">
        <v>197</v>
      </c>
      <c r="D39" s="377"/>
    </row>
    <row r="40" spans="1:7" ht="30">
      <c r="A40" s="417" t="s">
        <v>67</v>
      </c>
      <c r="B40" s="381">
        <f>(635.59*6+661.01*6)*G34</f>
        <v>7779.6</v>
      </c>
      <c r="C40" s="385" t="s">
        <v>496</v>
      </c>
      <c r="D40" s="377" t="s">
        <v>85</v>
      </c>
    </row>
    <row r="41" spans="1:7" ht="30">
      <c r="A41" s="417" t="s">
        <v>190</v>
      </c>
      <c r="B41" s="418">
        <f>(466.1*6+484.74*6)*G19</f>
        <v>0</v>
      </c>
      <c r="C41" s="385" t="s">
        <v>497</v>
      </c>
      <c r="D41" s="377" t="s">
        <v>85</v>
      </c>
    </row>
    <row r="42" spans="1:7">
      <c r="A42" s="385" t="s">
        <v>529</v>
      </c>
      <c r="B42" s="383">
        <f>3750*12*2</f>
        <v>90000</v>
      </c>
      <c r="C42" s="417" t="s">
        <v>607</v>
      </c>
      <c r="D42" s="504" t="s">
        <v>85</v>
      </c>
    </row>
    <row r="43" spans="1:7">
      <c r="A43" s="385" t="s">
        <v>530</v>
      </c>
      <c r="B43" s="383">
        <f>4190*2</f>
        <v>8380</v>
      </c>
      <c r="C43" s="417" t="s">
        <v>605</v>
      </c>
      <c r="D43" s="505" t="s">
        <v>532</v>
      </c>
    </row>
    <row r="44" spans="1:7" s="24" customFormat="1" ht="15.75">
      <c r="A44" s="507" t="s">
        <v>47</v>
      </c>
      <c r="B44" s="492">
        <f>SUM(B32:B43)</f>
        <v>343767.81286614342</v>
      </c>
      <c r="C44" s="509"/>
      <c r="D44" s="477"/>
    </row>
    <row r="45" spans="1:7">
      <c r="A45" s="496" t="s">
        <v>48</v>
      </c>
      <c r="B45" s="487"/>
      <c r="C45" s="485"/>
      <c r="D45" s="477"/>
    </row>
    <row r="46" spans="1:7" ht="45">
      <c r="A46" s="421" t="s">
        <v>49</v>
      </c>
      <c r="B46" s="413">
        <f>(G27*100.2134*6)+(G27*104.2268)+(1.71*(B12+B13)*12)</f>
        <v>84552.162719999993</v>
      </c>
      <c r="C46" s="422" t="s">
        <v>826</v>
      </c>
      <c r="D46" s="423"/>
    </row>
    <row r="47" spans="1:7" ht="120">
      <c r="A47" s="426" t="s">
        <v>120</v>
      </c>
      <c r="B47" s="427">
        <f>17.51*(B13+B12)</f>
        <v>66821.661999999997</v>
      </c>
      <c r="C47" s="428" t="s">
        <v>827</v>
      </c>
      <c r="D47" s="377"/>
    </row>
    <row r="48" spans="1:7" ht="63">
      <c r="A48" s="456" t="s">
        <v>51</v>
      </c>
      <c r="B48" s="457">
        <f>(654.11+263.56/3)*G33/1000</f>
        <v>12075.45325</v>
      </c>
      <c r="C48" s="458" t="s">
        <v>828</v>
      </c>
      <c r="D48" s="459" t="s">
        <v>91</v>
      </c>
    </row>
    <row r="49" spans="1:4" ht="60">
      <c r="A49" s="430" t="s">
        <v>52</v>
      </c>
      <c r="B49" s="431">
        <f>((G26/12*6*100.2134)+(G26/12*6*104.2268))+((G26/12*6*100.2134)+(G26/12*6*104.2268))/1.302*25%</f>
        <v>58205.387381788016</v>
      </c>
      <c r="C49" s="422" t="s">
        <v>829</v>
      </c>
      <c r="D49" s="377"/>
    </row>
    <row r="50" spans="1:4" s="58" customFormat="1">
      <c r="A50" s="302" t="s">
        <v>53</v>
      </c>
      <c r="B50" s="322">
        <f>SUM(B46:B49)</f>
        <v>221654.66535178799</v>
      </c>
      <c r="C50" s="274"/>
      <c r="D50" s="377"/>
    </row>
    <row r="51" spans="1:4">
      <c r="A51" s="116" t="s">
        <v>54</v>
      </c>
      <c r="B51" s="1"/>
      <c r="C51" s="96"/>
      <c r="D51" s="90"/>
    </row>
    <row r="52" spans="1:4" s="23" customFormat="1" ht="12.75">
      <c r="A52" s="118" t="s">
        <v>55</v>
      </c>
      <c r="B52" s="2">
        <v>0</v>
      </c>
      <c r="C52" s="119"/>
      <c r="D52" s="86"/>
    </row>
    <row r="53" spans="1:4">
      <c r="A53" s="116" t="s">
        <v>56</v>
      </c>
      <c r="B53" s="88">
        <v>0</v>
      </c>
      <c r="C53" s="120"/>
      <c r="D53" s="90"/>
    </row>
    <row r="54" spans="1:4">
      <c r="A54" s="116" t="s">
        <v>57</v>
      </c>
      <c r="B54" s="88"/>
      <c r="C54" s="120"/>
      <c r="D54" s="90"/>
    </row>
    <row r="55" spans="1:4">
      <c r="A55" s="116" t="s">
        <v>58</v>
      </c>
      <c r="B55" s="88"/>
      <c r="C55" s="120"/>
      <c r="D55" s="90"/>
    </row>
    <row r="56" spans="1:4">
      <c r="A56" s="116" t="s">
        <v>59</v>
      </c>
      <c r="B56" s="88"/>
      <c r="C56" s="120"/>
      <c r="D56" s="90"/>
    </row>
    <row r="57" spans="1:4" ht="15.75">
      <c r="A57" s="117" t="s">
        <v>60</v>
      </c>
      <c r="B57" s="132">
        <f>B52+B53</f>
        <v>0</v>
      </c>
      <c r="C57" s="122"/>
      <c r="D57" s="90"/>
    </row>
    <row r="58" spans="1:4">
      <c r="A58" s="123" t="s">
        <v>61</v>
      </c>
      <c r="B58" s="407">
        <f>3.051*(B13+B12)</f>
        <v>11643.226199999999</v>
      </c>
      <c r="C58" s="539" t="s">
        <v>830</v>
      </c>
      <c r="D58" s="90"/>
    </row>
    <row r="59" spans="1:4">
      <c r="A59" s="124" t="s">
        <v>62</v>
      </c>
      <c r="B59" s="407">
        <f>1.54*(B13+B12)</f>
        <v>5876.9479999999994</v>
      </c>
      <c r="C59" s="540" t="s">
        <v>831</v>
      </c>
      <c r="D59" s="90"/>
    </row>
    <row r="60" spans="1:4">
      <c r="A60" s="68" t="s">
        <v>63</v>
      </c>
      <c r="B60" s="440">
        <f>(B44+B50)*0.348</f>
        <v>196767.02241984013</v>
      </c>
      <c r="C60" s="381" t="s">
        <v>514</v>
      </c>
      <c r="D60" s="90"/>
    </row>
    <row r="61" spans="1:4" ht="38.25">
      <c r="A61" s="68" t="s">
        <v>121</v>
      </c>
      <c r="B61" s="125">
        <f>(B44+B50+B60)*0.132</f>
        <v>100609.01408418585</v>
      </c>
      <c r="C61" s="69" t="s">
        <v>225</v>
      </c>
      <c r="D61" s="90" t="s">
        <v>85</v>
      </c>
    </row>
    <row r="62" spans="1:4" ht="15.75">
      <c r="A62" s="127" t="s">
        <v>122</v>
      </c>
      <c r="B62" s="132">
        <f>B58+B59+B60+B61</f>
        <v>314896.21070402599</v>
      </c>
      <c r="C62" s="122"/>
      <c r="D62" s="90"/>
    </row>
    <row r="63" spans="1:4">
      <c r="A63" s="68" t="s">
        <v>64</v>
      </c>
      <c r="B63" s="88">
        <f>(B44+B50+B57+B62)*3%</f>
        <v>26409.560667658723</v>
      </c>
      <c r="C63" s="120"/>
      <c r="D63" s="90"/>
    </row>
    <row r="64" spans="1:4" ht="15.75">
      <c r="A64" s="128" t="s">
        <v>26</v>
      </c>
      <c r="B64" s="595">
        <f>B44+B50+B57+B62+B63</f>
        <v>906728.2495896162</v>
      </c>
      <c r="C64" s="130"/>
      <c r="D64" s="90"/>
    </row>
    <row r="65" spans="1:4" ht="15.75">
      <c r="A65" s="128" t="s">
        <v>65</v>
      </c>
      <c r="B65" s="595">
        <f>B64*1.2</f>
        <v>1088073.8995075393</v>
      </c>
      <c r="C65" s="130"/>
      <c r="D65" s="90"/>
    </row>
    <row r="66" spans="1:4" ht="15.75">
      <c r="A66" s="131"/>
      <c r="B66" s="132">
        <f>B29-B65</f>
        <v>-62126.96350753936</v>
      </c>
      <c r="C66" s="133"/>
      <c r="D66" s="90"/>
    </row>
    <row r="67" spans="1:4" ht="30">
      <c r="A67" s="134" t="s">
        <v>123</v>
      </c>
      <c r="B67" s="135">
        <f>B65/(B12+B13)/12</f>
        <v>23.759977191698969</v>
      </c>
      <c r="C67" s="136" t="s">
        <v>229</v>
      </c>
      <c r="D67" s="137"/>
    </row>
    <row r="68" spans="1:4">
      <c r="A68" s="138"/>
      <c r="D68" s="138"/>
    </row>
    <row r="69" spans="1:4" ht="15" customHeight="1">
      <c r="A69" s="799" t="s">
        <v>124</v>
      </c>
      <c r="B69" s="799"/>
      <c r="C69" s="799"/>
      <c r="D69" s="138"/>
    </row>
    <row r="70" spans="1:4" ht="28.5" customHeight="1">
      <c r="A70" s="800" t="s">
        <v>518</v>
      </c>
      <c r="B70" s="800"/>
      <c r="C70" s="800"/>
      <c r="D70" s="196"/>
    </row>
    <row r="71" spans="1:4" ht="28.5" customHeight="1">
      <c r="A71" s="800" t="s">
        <v>519</v>
      </c>
      <c r="B71" s="800"/>
      <c r="C71" s="800"/>
      <c r="D71" s="196"/>
    </row>
    <row r="72" spans="1:4" ht="25.5" customHeight="1">
      <c r="A72" s="160"/>
      <c r="B72" s="453"/>
      <c r="C72" s="193"/>
      <c r="D72" s="138"/>
    </row>
    <row r="73" spans="1:4">
      <c r="A73" s="797" t="s">
        <v>505</v>
      </c>
      <c r="B73" s="797"/>
      <c r="C73" s="797"/>
      <c r="D73" s="138"/>
    </row>
    <row r="74" spans="1:4">
      <c r="A74" s="193"/>
      <c r="B74" s="193"/>
      <c r="C74" s="193"/>
      <c r="D74" s="138"/>
    </row>
    <row r="77" spans="1:4" ht="18.75">
      <c r="A77" s="170"/>
      <c r="B77" s="170"/>
      <c r="C77" s="170"/>
    </row>
    <row r="86" spans="1:4" s="25" customFormat="1">
      <c r="A86" s="66"/>
      <c r="B86" s="66"/>
      <c r="C86" s="66"/>
      <c r="D86" s="67"/>
    </row>
    <row r="87" spans="1:4" s="25" customFormat="1">
      <c r="A87" s="66"/>
      <c r="B87" s="66"/>
      <c r="C87" s="66"/>
      <c r="D87" s="67"/>
    </row>
    <row r="88" spans="1:4" s="25" customFormat="1">
      <c r="A88" s="66"/>
      <c r="B88" s="66"/>
      <c r="C88" s="66"/>
      <c r="D88" s="67"/>
    </row>
    <row r="89" spans="1:4" s="25" customFormat="1">
      <c r="A89" s="66"/>
      <c r="B89" s="66"/>
      <c r="C89" s="66"/>
      <c r="D89" s="67"/>
    </row>
    <row r="90" spans="1:4" s="25" customFormat="1">
      <c r="A90" s="66"/>
      <c r="B90" s="66"/>
      <c r="C90" s="66"/>
      <c r="D90" s="67"/>
    </row>
    <row r="91" spans="1:4" s="25" customFormat="1">
      <c r="A91" s="66"/>
      <c r="B91" s="66"/>
      <c r="C91" s="66"/>
      <c r="D91" s="67"/>
    </row>
    <row r="92" spans="1:4" s="25" customFormat="1">
      <c r="A92" s="66"/>
      <c r="B92" s="66"/>
      <c r="C92" s="66"/>
      <c r="D92" s="67"/>
    </row>
    <row r="93" spans="1:4" s="25" customFormat="1">
      <c r="A93" s="66"/>
      <c r="B93" s="66"/>
      <c r="C93" s="66"/>
      <c r="D93" s="67"/>
    </row>
  </sheetData>
  <mergeCells count="6">
    <mergeCell ref="A73:C73"/>
    <mergeCell ref="A69:C69"/>
    <mergeCell ref="A8:D8"/>
    <mergeCell ref="A9:D10"/>
    <mergeCell ref="A70:C70"/>
    <mergeCell ref="A71:C71"/>
  </mergeCells>
  <pageMargins left="0.51181102362204722" right="0.11811023622047244" top="0.15748031496062992" bottom="0.15748031496062992" header="0.31496062992125984" footer="0.31496062992125984"/>
  <pageSetup paperSize="9" scale="80" orientation="portrait" verticalDpi="0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F0"/>
  </sheetPr>
  <dimension ref="A1:G76"/>
  <sheetViews>
    <sheetView zoomScale="60" zoomScaleNormal="60" workbookViewId="0">
      <selection activeCell="A9" sqref="A9:D10"/>
    </sheetView>
  </sheetViews>
  <sheetFormatPr defaultColWidth="8.85546875" defaultRowHeight="15"/>
  <cols>
    <col min="1" max="1" width="38" style="58" customWidth="1"/>
    <col min="2" max="2" width="15.28515625" style="58" customWidth="1"/>
    <col min="3" max="3" width="35.28515625" style="58" customWidth="1"/>
    <col min="4" max="4" width="16.7109375" style="58" bestFit="1" customWidth="1"/>
    <col min="5" max="5" width="0" style="58" hidden="1" customWidth="1"/>
    <col min="6" max="6" width="26.140625" style="58" hidden="1" customWidth="1"/>
    <col min="7" max="7" width="11" style="58" hidden="1" customWidth="1"/>
    <col min="8" max="16384" width="8.85546875" style="58"/>
  </cols>
  <sheetData>
    <row r="1" spans="1:7">
      <c r="A1" s="66"/>
      <c r="B1" s="66"/>
      <c r="C1" s="159" t="s">
        <v>0</v>
      </c>
      <c r="D1" s="66"/>
    </row>
    <row r="2" spans="1:7">
      <c r="A2" s="66"/>
      <c r="B2" s="66"/>
      <c r="C2" s="159" t="s">
        <v>216</v>
      </c>
      <c r="D2" s="66"/>
    </row>
    <row r="3" spans="1:7">
      <c r="A3" s="66"/>
      <c r="B3" s="66"/>
      <c r="C3" s="159" t="s">
        <v>189</v>
      </c>
      <c r="D3" s="66"/>
    </row>
    <row r="4" spans="1:7">
      <c r="A4" s="66"/>
      <c r="B4" s="66"/>
      <c r="C4" s="159"/>
      <c r="D4" s="66"/>
    </row>
    <row r="5" spans="1:7">
      <c r="A5" s="66"/>
      <c r="B5" s="66"/>
      <c r="C5" s="159" t="s">
        <v>217</v>
      </c>
      <c r="D5" s="66"/>
    </row>
    <row r="6" spans="1:7">
      <c r="A6" s="66"/>
      <c r="B6" s="66"/>
      <c r="C6" s="193"/>
      <c r="D6" s="66"/>
    </row>
    <row r="7" spans="1:7">
      <c r="A7" s="66"/>
      <c r="B7" s="66"/>
      <c r="C7" s="193"/>
      <c r="D7" s="66"/>
    </row>
    <row r="8" spans="1:7">
      <c r="A8" s="801" t="s">
        <v>218</v>
      </c>
      <c r="B8" s="801"/>
      <c r="C8" s="801"/>
      <c r="D8" s="801"/>
    </row>
    <row r="9" spans="1:7">
      <c r="A9" s="801" t="s">
        <v>100</v>
      </c>
      <c r="B9" s="801"/>
      <c r="C9" s="801"/>
      <c r="D9" s="801"/>
    </row>
    <row r="10" spans="1:7">
      <c r="A10" s="801"/>
      <c r="B10" s="801"/>
      <c r="C10" s="801"/>
      <c r="D10" s="801"/>
    </row>
    <row r="11" spans="1:7">
      <c r="A11" s="237"/>
      <c r="B11" s="237"/>
      <c r="C11" s="237"/>
      <c r="D11" s="66"/>
    </row>
    <row r="12" spans="1:7">
      <c r="A12" s="160" t="s">
        <v>2</v>
      </c>
      <c r="B12" s="238">
        <v>3549.4</v>
      </c>
      <c r="C12" s="235" t="s">
        <v>72</v>
      </c>
      <c r="D12" s="66"/>
    </row>
    <row r="13" spans="1:7">
      <c r="A13" s="239" t="s">
        <v>3</v>
      </c>
      <c r="B13" s="240">
        <v>0</v>
      </c>
      <c r="C13" s="241"/>
      <c r="D13" s="242"/>
    </row>
    <row r="14" spans="1:7">
      <c r="A14" s="239"/>
      <c r="B14" s="240"/>
      <c r="C14" s="241"/>
      <c r="D14" s="242"/>
    </row>
    <row r="15" spans="1:7" ht="28.5">
      <c r="A15" s="243" t="s">
        <v>4</v>
      </c>
      <c r="B15" s="244" t="s">
        <v>5</v>
      </c>
      <c r="C15" s="245" t="s">
        <v>661</v>
      </c>
      <c r="D15" s="246" t="s">
        <v>84</v>
      </c>
      <c r="F15" s="247" t="s">
        <v>457</v>
      </c>
      <c r="G15" s="248">
        <v>180</v>
      </c>
    </row>
    <row r="16" spans="1:7">
      <c r="A16" s="249" t="s">
        <v>7</v>
      </c>
      <c r="B16" s="250">
        <f>G17*G16*12</f>
        <v>538798.92000000004</v>
      </c>
      <c r="C16" s="251" t="s">
        <v>458</v>
      </c>
      <c r="D16" s="252" t="s">
        <v>85</v>
      </c>
      <c r="F16" s="253" t="s">
        <v>132</v>
      </c>
      <c r="G16" s="254">
        <v>12.65</v>
      </c>
    </row>
    <row r="17" spans="1:7">
      <c r="A17" s="255"/>
      <c r="B17" s="256"/>
      <c r="C17" s="257"/>
      <c r="D17" s="258"/>
      <c r="F17" s="259" t="s">
        <v>134</v>
      </c>
      <c r="G17" s="260">
        <v>3549.4</v>
      </c>
    </row>
    <row r="18" spans="1:7" ht="30">
      <c r="A18" s="261" t="s">
        <v>9</v>
      </c>
      <c r="B18" s="262">
        <f>B19</f>
        <v>0</v>
      </c>
      <c r="C18" s="263"/>
      <c r="D18" s="258"/>
      <c r="F18" s="259" t="s">
        <v>135</v>
      </c>
      <c r="G18" s="260">
        <v>80</v>
      </c>
    </row>
    <row r="19" spans="1:7">
      <c r="A19" s="264"/>
      <c r="B19" s="265"/>
      <c r="C19" s="266"/>
      <c r="D19" s="258"/>
      <c r="F19" s="259" t="s">
        <v>136</v>
      </c>
      <c r="G19" s="260">
        <v>195</v>
      </c>
    </row>
    <row r="20" spans="1:7">
      <c r="A20" s="267"/>
      <c r="B20" s="268"/>
      <c r="C20" s="269"/>
      <c r="D20" s="258"/>
      <c r="F20" s="247" t="s">
        <v>459</v>
      </c>
      <c r="G20" s="248">
        <v>0</v>
      </c>
    </row>
    <row r="21" spans="1:7">
      <c r="A21" s="267"/>
      <c r="B21" s="270"/>
      <c r="C21" s="271"/>
      <c r="D21" s="258"/>
      <c r="F21" s="259" t="s">
        <v>139</v>
      </c>
      <c r="G21" s="260">
        <v>1130</v>
      </c>
    </row>
    <row r="22" spans="1:7">
      <c r="A22" s="272" t="s">
        <v>12</v>
      </c>
      <c r="B22" s="273">
        <f>B16+B18</f>
        <v>538798.92000000004</v>
      </c>
      <c r="C22" s="274"/>
      <c r="D22" s="258"/>
      <c r="F22" s="259" t="s">
        <v>140</v>
      </c>
      <c r="G22" s="260">
        <v>0</v>
      </c>
    </row>
    <row r="23" spans="1:7" ht="30">
      <c r="A23" s="275" t="s">
        <v>13</v>
      </c>
      <c r="B23" s="276">
        <f>B24+B25+B26+B27+B28+B29+B30</f>
        <v>5189.76</v>
      </c>
      <c r="C23" s="274"/>
      <c r="D23" s="258"/>
      <c r="F23" s="259" t="s">
        <v>141</v>
      </c>
      <c r="G23" s="260">
        <v>0</v>
      </c>
    </row>
    <row r="24" spans="1:7">
      <c r="A24" s="264" t="s">
        <v>14</v>
      </c>
      <c r="B24" s="276">
        <f>34.98*12</f>
        <v>419.76</v>
      </c>
      <c r="C24" s="274" t="s">
        <v>15</v>
      </c>
      <c r="D24" s="258" t="s">
        <v>85</v>
      </c>
      <c r="F24" s="259" t="s">
        <v>142</v>
      </c>
      <c r="G24" s="260">
        <v>1248</v>
      </c>
    </row>
    <row r="25" spans="1:7">
      <c r="A25" s="264" t="s">
        <v>16</v>
      </c>
      <c r="B25" s="276">
        <f>137.5*12*0</f>
        <v>0</v>
      </c>
      <c r="C25" s="274" t="s">
        <v>17</v>
      </c>
      <c r="D25" s="258"/>
      <c r="F25" s="259" t="s">
        <v>143</v>
      </c>
      <c r="G25" s="277">
        <v>5815.1</v>
      </c>
    </row>
    <row r="26" spans="1:7">
      <c r="A26" s="264" t="s">
        <v>18</v>
      </c>
      <c r="B26" s="276">
        <f>123.75*12</f>
        <v>1485</v>
      </c>
      <c r="C26" s="274" t="s">
        <v>19</v>
      </c>
      <c r="D26" s="258" t="s">
        <v>85</v>
      </c>
      <c r="F26" s="259" t="s">
        <v>144</v>
      </c>
      <c r="G26" s="278">
        <v>0</v>
      </c>
    </row>
    <row r="27" spans="1:7">
      <c r="A27" s="264" t="s">
        <v>20</v>
      </c>
      <c r="B27" s="276">
        <f>123.75*12</f>
        <v>1485</v>
      </c>
      <c r="C27" s="274" t="s">
        <v>19</v>
      </c>
      <c r="D27" s="258" t="s">
        <v>85</v>
      </c>
      <c r="F27" s="259" t="s">
        <v>145</v>
      </c>
      <c r="G27" s="278">
        <v>506.13</v>
      </c>
    </row>
    <row r="28" spans="1:7">
      <c r="A28" s="264" t="s">
        <v>66</v>
      </c>
      <c r="B28" s="276">
        <f>150*12</f>
        <v>1800</v>
      </c>
      <c r="C28" s="274" t="s">
        <v>21</v>
      </c>
      <c r="D28" s="258" t="s">
        <v>85</v>
      </c>
      <c r="F28" s="259" t="s">
        <v>460</v>
      </c>
      <c r="G28" s="278">
        <v>12.41</v>
      </c>
    </row>
    <row r="29" spans="1:7">
      <c r="A29" s="264" t="s">
        <v>22</v>
      </c>
      <c r="B29" s="276">
        <f>137.5*12*0</f>
        <v>0</v>
      </c>
      <c r="C29" s="274" t="s">
        <v>17</v>
      </c>
      <c r="D29" s="258"/>
      <c r="F29" s="259" t="s">
        <v>461</v>
      </c>
      <c r="G29" s="278">
        <f>(G24/3+G25)/2920</f>
        <v>2.1339383561643839</v>
      </c>
    </row>
    <row r="30" spans="1:7">
      <c r="A30" s="264" t="s">
        <v>23</v>
      </c>
      <c r="B30" s="276">
        <f>150*12*0</f>
        <v>0</v>
      </c>
      <c r="C30" s="274" t="s">
        <v>21</v>
      </c>
      <c r="D30" s="258"/>
      <c r="F30" s="259" t="s">
        <v>148</v>
      </c>
      <c r="G30" s="278">
        <v>0</v>
      </c>
    </row>
    <row r="31" spans="1:7">
      <c r="A31" s="275" t="s">
        <v>24</v>
      </c>
      <c r="B31" s="276"/>
      <c r="C31" s="274"/>
      <c r="D31" s="258"/>
      <c r="F31" s="259" t="s">
        <v>149</v>
      </c>
      <c r="G31" s="279">
        <v>0</v>
      </c>
    </row>
    <row r="32" spans="1:7">
      <c r="A32" s="280" t="s">
        <v>26</v>
      </c>
      <c r="B32" s="273">
        <f>B22+SUM(B23:B30)</f>
        <v>549178.44000000006</v>
      </c>
      <c r="C32" s="274"/>
      <c r="D32" s="258"/>
      <c r="F32" s="247" t="s">
        <v>151</v>
      </c>
      <c r="G32" s="279">
        <v>5</v>
      </c>
    </row>
    <row r="33" spans="1:7" ht="28.5">
      <c r="A33" s="244" t="s">
        <v>27</v>
      </c>
      <c r="B33" s="281" t="s">
        <v>5</v>
      </c>
      <c r="C33" s="282" t="s">
        <v>28</v>
      </c>
      <c r="D33" s="258"/>
      <c r="F33" s="247" t="s">
        <v>462</v>
      </c>
      <c r="G33" s="279">
        <v>868.8</v>
      </c>
    </row>
    <row r="34" spans="1:7">
      <c r="A34" s="283" t="s">
        <v>29</v>
      </c>
      <c r="B34" s="262"/>
      <c r="C34" s="284"/>
      <c r="D34" s="258"/>
      <c r="F34" s="285" t="s">
        <v>463</v>
      </c>
      <c r="G34" s="286">
        <v>868.8</v>
      </c>
    </row>
    <row r="35" spans="1:7" ht="75">
      <c r="A35" s="287" t="s">
        <v>30</v>
      </c>
      <c r="B35" s="340">
        <f>(G29*(3708+200)*1.5*1.15*1.083*1.302*6)+G29*((3708+200)*1.5*1.15*1.083*1.302*6)+(0.104*G24*12)</f>
        <v>244971.87272651662</v>
      </c>
      <c r="C35" s="341" t="s">
        <v>520</v>
      </c>
      <c r="D35" s="288" t="s">
        <v>86</v>
      </c>
      <c r="F35" s="289" t="s">
        <v>464</v>
      </c>
      <c r="G35" s="290">
        <v>12250</v>
      </c>
    </row>
    <row r="36" spans="1:7" ht="30">
      <c r="A36" s="287" t="s">
        <v>31</v>
      </c>
      <c r="B36" s="342">
        <f>(G31*9921.13*6)+(G31*10317.11*6)</f>
        <v>0</v>
      </c>
      <c r="C36" s="343" t="s">
        <v>509</v>
      </c>
      <c r="D36" s="258"/>
      <c r="F36" s="247" t="s">
        <v>465</v>
      </c>
      <c r="G36" s="279">
        <v>1</v>
      </c>
    </row>
    <row r="37" spans="1:7" ht="45">
      <c r="A37" s="287" t="s">
        <v>32</v>
      </c>
      <c r="B37" s="342">
        <v>0</v>
      </c>
      <c r="C37" s="344" t="s">
        <v>466</v>
      </c>
      <c r="D37" s="258"/>
      <c r="F37" s="247" t="s">
        <v>467</v>
      </c>
      <c r="G37" s="279">
        <v>2</v>
      </c>
    </row>
    <row r="38" spans="1:7">
      <c r="A38" s="287" t="s">
        <v>34</v>
      </c>
      <c r="B38" s="345">
        <f>(16.06+16.7)*G18</f>
        <v>2620.7999999999997</v>
      </c>
      <c r="C38" s="346" t="s">
        <v>468</v>
      </c>
      <c r="D38" s="258" t="s">
        <v>88</v>
      </c>
    </row>
    <row r="39" spans="1:7" ht="30">
      <c r="A39" s="287" t="s">
        <v>35</v>
      </c>
      <c r="B39" s="345">
        <f>(49.72+51.71)*2*0</f>
        <v>0</v>
      </c>
      <c r="C39" s="346" t="s">
        <v>469</v>
      </c>
      <c r="D39" s="258"/>
    </row>
    <row r="40" spans="1:7">
      <c r="A40" s="287" t="s">
        <v>36</v>
      </c>
      <c r="B40" s="347">
        <f>0.25*G33*12</f>
        <v>2606.3999999999996</v>
      </c>
      <c r="C40" s="348" t="s">
        <v>470</v>
      </c>
      <c r="D40" s="258" t="s">
        <v>85</v>
      </c>
    </row>
    <row r="41" spans="1:7">
      <c r="A41" s="291" t="s">
        <v>37</v>
      </c>
      <c r="B41" s="345">
        <f>2.34*G34*4</f>
        <v>8131.9679999999989</v>
      </c>
      <c r="C41" s="251" t="s">
        <v>471</v>
      </c>
      <c r="D41" s="258" t="s">
        <v>89</v>
      </c>
    </row>
    <row r="42" spans="1:7" ht="30">
      <c r="A42" s="255" t="s">
        <v>67</v>
      </c>
      <c r="B42" s="349">
        <f>(635.59*6+661.01*6)*G36</f>
        <v>7779.6</v>
      </c>
      <c r="C42" s="251" t="s">
        <v>476</v>
      </c>
      <c r="D42" s="258" t="s">
        <v>85</v>
      </c>
    </row>
    <row r="43" spans="1:7" ht="30">
      <c r="A43" s="255" t="s">
        <v>190</v>
      </c>
      <c r="B43" s="350">
        <f>(695.13*6+722.94*6)*G20</f>
        <v>0</v>
      </c>
      <c r="C43" s="251" t="s">
        <v>477</v>
      </c>
      <c r="D43" s="252" t="s">
        <v>85</v>
      </c>
    </row>
    <row r="44" spans="1:7">
      <c r="A44" s="255" t="s">
        <v>158</v>
      </c>
      <c r="B44" s="596">
        <f>315.72*12</f>
        <v>3788.6400000000003</v>
      </c>
      <c r="C44" s="319" t="s">
        <v>832</v>
      </c>
      <c r="D44" s="252" t="s">
        <v>85</v>
      </c>
    </row>
    <row r="45" spans="1:7">
      <c r="A45" s="292" t="s">
        <v>47</v>
      </c>
      <c r="B45" s="273">
        <f>SUM(B35:B44)</f>
        <v>269899.28072651662</v>
      </c>
      <c r="C45" s="274"/>
      <c r="D45" s="258"/>
    </row>
    <row r="46" spans="1:7">
      <c r="A46" s="287" t="s">
        <v>48</v>
      </c>
      <c r="B46" s="276"/>
      <c r="C46" s="274"/>
      <c r="D46" s="258"/>
    </row>
    <row r="47" spans="1:7" ht="60">
      <c r="A47" s="293" t="s">
        <v>49</v>
      </c>
      <c r="B47" s="345">
        <f>(G28*100.2134*6)+(G28*104.2268*6)+(1.71*(B12+B13)*12)</f>
        <v>88056.30529199999</v>
      </c>
      <c r="C47" s="352" t="s">
        <v>472</v>
      </c>
      <c r="D47" s="294"/>
    </row>
    <row r="48" spans="1:7">
      <c r="A48" s="291" t="s">
        <v>50</v>
      </c>
      <c r="B48" s="276">
        <f>13.69*G21</f>
        <v>15469.699999999999</v>
      </c>
      <c r="C48" s="353" t="s">
        <v>232</v>
      </c>
      <c r="D48" s="258" t="s">
        <v>90</v>
      </c>
    </row>
    <row r="49" spans="1:4" ht="150">
      <c r="A49" s="295" t="s">
        <v>120</v>
      </c>
      <c r="B49" s="351">
        <f>17.51*(B12+B13)</f>
        <v>62149.994000000006</v>
      </c>
      <c r="C49" s="274" t="s">
        <v>473</v>
      </c>
      <c r="D49" s="258"/>
    </row>
    <row r="50" spans="1:4" ht="63">
      <c r="A50" s="456" t="s">
        <v>51</v>
      </c>
      <c r="B50" s="457">
        <f>(654.11+263.56/3)*G35/1000</f>
        <v>9089.0508333333346</v>
      </c>
      <c r="C50" s="458" t="s">
        <v>516</v>
      </c>
      <c r="D50" s="459" t="s">
        <v>91</v>
      </c>
    </row>
    <row r="51" spans="1:4" ht="60">
      <c r="A51" s="296" t="s">
        <v>52</v>
      </c>
      <c r="B51" s="354">
        <f>((G27/12*6*100.2134)+(G27/12*6*104.2268))+((G27/12*6*100.2134)+(G27/12*6*104.2268))/1.302*25%</f>
        <v>61670.733562654379</v>
      </c>
      <c r="C51" s="352" t="s">
        <v>515</v>
      </c>
      <c r="D51" s="258"/>
    </row>
    <row r="52" spans="1:4">
      <c r="A52" s="297" t="s">
        <v>53</v>
      </c>
      <c r="B52" s="273">
        <f>SUM(B47:B51)</f>
        <v>236435.78368798771</v>
      </c>
      <c r="C52" s="274"/>
      <c r="D52" s="258"/>
    </row>
    <row r="53" spans="1:4">
      <c r="A53" s="296" t="s">
        <v>54</v>
      </c>
      <c r="B53" s="276"/>
      <c r="C53" s="274"/>
      <c r="D53" s="258"/>
    </row>
    <row r="54" spans="1:4">
      <c r="A54" s="298" t="s">
        <v>55</v>
      </c>
      <c r="B54" s="299">
        <v>0</v>
      </c>
      <c r="C54" s="300"/>
      <c r="D54" s="252"/>
    </row>
    <row r="55" spans="1:4">
      <c r="A55" s="296" t="s">
        <v>56</v>
      </c>
      <c r="B55" s="262">
        <v>0</v>
      </c>
      <c r="C55" s="301"/>
      <c r="D55" s="258"/>
    </row>
    <row r="56" spans="1:4">
      <c r="A56" s="296" t="s">
        <v>57</v>
      </c>
      <c r="B56" s="262"/>
      <c r="C56" s="301"/>
      <c r="D56" s="258"/>
    </row>
    <row r="57" spans="1:4">
      <c r="A57" s="296" t="s">
        <v>58</v>
      </c>
      <c r="B57" s="262"/>
      <c r="C57" s="301"/>
      <c r="D57" s="258"/>
    </row>
    <row r="58" spans="1:4">
      <c r="A58" s="296" t="s">
        <v>59</v>
      </c>
      <c r="B58" s="262"/>
      <c r="C58" s="301"/>
      <c r="D58" s="258"/>
    </row>
    <row r="59" spans="1:4">
      <c r="A59" s="302" t="s">
        <v>60</v>
      </c>
      <c r="B59" s="307">
        <f>B54+B55</f>
        <v>0</v>
      </c>
      <c r="C59" s="301"/>
      <c r="D59" s="258"/>
    </row>
    <row r="60" spans="1:4">
      <c r="A60" s="303" t="s">
        <v>61</v>
      </c>
      <c r="B60" s="262">
        <f>3.051*(B12+0)</f>
        <v>10829.2194</v>
      </c>
      <c r="C60" s="301" t="s">
        <v>474</v>
      </c>
      <c r="D60" s="258"/>
    </row>
    <row r="61" spans="1:4">
      <c r="A61" s="460" t="s">
        <v>62</v>
      </c>
      <c r="B61" s="304">
        <f>1.54*(B12+0)</f>
        <v>5466.076</v>
      </c>
      <c r="C61" s="461" t="s">
        <v>517</v>
      </c>
      <c r="D61" s="355"/>
    </row>
    <row r="62" spans="1:4">
      <c r="A62" s="264" t="s">
        <v>63</v>
      </c>
      <c r="B62" s="262">
        <f>(B45+B52)*0.348</f>
        <v>176204.60241624751</v>
      </c>
      <c r="C62" s="301" t="s">
        <v>514</v>
      </c>
      <c r="D62" s="258"/>
    </row>
    <row r="63" spans="1:4" ht="45">
      <c r="A63" s="264" t="s">
        <v>121</v>
      </c>
      <c r="B63" s="304">
        <f>(B45+B52+B62)*0.132</f>
        <v>90095.23602165925</v>
      </c>
      <c r="C63" s="305" t="s">
        <v>225</v>
      </c>
      <c r="D63" s="258" t="s">
        <v>85</v>
      </c>
    </row>
    <row r="64" spans="1:4">
      <c r="A64" s="127" t="s">
        <v>122</v>
      </c>
      <c r="B64" s="307">
        <f>B60+B61+B62+B63</f>
        <v>282595.13383790676</v>
      </c>
      <c r="C64" s="301"/>
      <c r="D64" s="258"/>
    </row>
    <row r="65" spans="1:4">
      <c r="A65" s="264" t="s">
        <v>64</v>
      </c>
      <c r="B65" s="262">
        <f>(B45+B52+B59+B64)*3%</f>
        <v>23667.905947572333</v>
      </c>
      <c r="C65" s="301"/>
      <c r="D65" s="258"/>
    </row>
    <row r="66" spans="1:4">
      <c r="A66" s="127" t="s">
        <v>26</v>
      </c>
      <c r="B66" s="357">
        <f>B45+B52+B59+B64+B65</f>
        <v>812598.10419998341</v>
      </c>
      <c r="C66" s="306"/>
      <c r="D66" s="258"/>
    </row>
    <row r="67" spans="1:4">
      <c r="A67" s="127" t="s">
        <v>475</v>
      </c>
      <c r="B67" s="357">
        <f>B66*1.2</f>
        <v>975117.72503998003</v>
      </c>
      <c r="C67" s="306"/>
      <c r="D67" s="258"/>
    </row>
    <row r="68" spans="1:4">
      <c r="A68" s="303"/>
      <c r="B68" s="307">
        <f>B32-B67</f>
        <v>-425939.28503997996</v>
      </c>
      <c r="C68" s="308"/>
      <c r="D68" s="258"/>
    </row>
    <row r="69" spans="1:4" ht="42.75">
      <c r="A69" s="309" t="s">
        <v>123</v>
      </c>
      <c r="B69" s="310">
        <f>B67/(B12+B13)/12</f>
        <v>22.893956843409683</v>
      </c>
      <c r="C69" s="311" t="s">
        <v>230</v>
      </c>
      <c r="D69" s="312"/>
    </row>
    <row r="70" spans="1:4">
      <c r="A70" s="65"/>
      <c r="B70" s="66"/>
      <c r="C70" s="66"/>
      <c r="D70" s="65"/>
    </row>
    <row r="71" spans="1:4">
      <c r="A71" s="799" t="s">
        <v>124</v>
      </c>
      <c r="B71" s="799"/>
      <c r="C71" s="799"/>
      <c r="D71" s="65"/>
    </row>
    <row r="72" spans="1:4" ht="33.75" customHeight="1">
      <c r="A72" s="800" t="s">
        <v>518</v>
      </c>
      <c r="B72" s="800"/>
      <c r="C72" s="800"/>
      <c r="D72" s="65"/>
    </row>
    <row r="73" spans="1:4" ht="33.75" customHeight="1">
      <c r="A73" s="800" t="s">
        <v>519</v>
      </c>
      <c r="B73" s="800"/>
      <c r="C73" s="800"/>
      <c r="D73" s="65"/>
    </row>
    <row r="74" spans="1:4">
      <c r="A74" s="160"/>
      <c r="B74" s="453"/>
      <c r="C74" s="193"/>
      <c r="D74" s="66"/>
    </row>
    <row r="75" spans="1:4">
      <c r="A75" s="797" t="s">
        <v>505</v>
      </c>
      <c r="B75" s="797"/>
      <c r="C75" s="797"/>
    </row>
    <row r="76" spans="1:4">
      <c r="A76" s="193"/>
      <c r="B76" s="193"/>
      <c r="C76" s="193"/>
    </row>
  </sheetData>
  <mergeCells count="6">
    <mergeCell ref="A75:C75"/>
    <mergeCell ref="A73:C73"/>
    <mergeCell ref="A8:D8"/>
    <mergeCell ref="A9:D10"/>
    <mergeCell ref="A71:C71"/>
    <mergeCell ref="A72:C72"/>
  </mergeCells>
  <pageMargins left="0.51181102362204722" right="0.11811023622047244" top="0.15748031496062992" bottom="0.15748031496062992" header="0.31496062992125984" footer="0.31496062992125984"/>
  <pageSetup paperSize="9" scale="90" orientation="portrait" horizontalDpi="0" verticalDpi="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B1:K112"/>
  <sheetViews>
    <sheetView topLeftCell="A52" workbookViewId="0">
      <selection activeCell="E66" sqref="E66"/>
    </sheetView>
  </sheetViews>
  <sheetFormatPr defaultColWidth="9.140625" defaultRowHeight="15"/>
  <cols>
    <col min="1" max="1" width="4" style="5" customWidth="1"/>
    <col min="2" max="2" width="39.42578125" style="66" customWidth="1"/>
    <col min="3" max="3" width="14.140625" style="66" customWidth="1"/>
    <col min="4" max="4" width="33.5703125" style="66" customWidth="1"/>
    <col min="5" max="5" width="14.7109375" style="67" customWidth="1"/>
    <col min="6" max="6" width="6.140625" style="5" customWidth="1"/>
    <col min="7" max="7" width="10.85546875" style="5" customWidth="1"/>
    <col min="8" max="8" width="9.140625" style="5"/>
    <col min="9" max="9" width="17.42578125" style="5" customWidth="1"/>
    <col min="10" max="10" width="9.140625" style="5" customWidth="1"/>
    <col min="11" max="16384" width="9.140625" style="5"/>
  </cols>
  <sheetData>
    <row r="1" spans="2:11" ht="6.75" customHeight="1"/>
    <row r="2" spans="2:11" ht="7.5" customHeight="1"/>
    <row r="3" spans="2:11" ht="15.75">
      <c r="D3" s="163" t="s">
        <v>0</v>
      </c>
      <c r="E3" s="65"/>
    </row>
    <row r="4" spans="2:11" ht="15.75">
      <c r="D4" s="163" t="s">
        <v>185</v>
      </c>
      <c r="E4" s="65"/>
      <c r="J4" s="58" t="s">
        <v>191</v>
      </c>
      <c r="K4" s="58" t="s">
        <v>192</v>
      </c>
    </row>
    <row r="5" spans="2:11" ht="15.75">
      <c r="D5" s="163" t="s">
        <v>1</v>
      </c>
      <c r="E5" s="65"/>
      <c r="I5" s="139" t="s">
        <v>132</v>
      </c>
      <c r="J5" s="212">
        <v>18.72</v>
      </c>
      <c r="K5" s="233">
        <v>28.03</v>
      </c>
    </row>
    <row r="6" spans="2:11" ht="15.75">
      <c r="D6" s="163"/>
      <c r="E6" s="65"/>
      <c r="I6" s="140" t="s">
        <v>134</v>
      </c>
      <c r="J6" s="140">
        <v>1564.2</v>
      </c>
      <c r="K6" s="141">
        <v>1386.7</v>
      </c>
    </row>
    <row r="7" spans="2:11" ht="15.75">
      <c r="D7" s="163" t="s">
        <v>217</v>
      </c>
      <c r="E7" s="65"/>
      <c r="I7" s="140" t="s">
        <v>135</v>
      </c>
      <c r="J7" s="140">
        <f>79+39</f>
        <v>118</v>
      </c>
      <c r="K7" s="141"/>
    </row>
    <row r="8" spans="2:11" ht="15" customHeight="1">
      <c r="D8" s="70"/>
      <c r="I8" s="140" t="s">
        <v>136</v>
      </c>
      <c r="J8" s="212">
        <v>238</v>
      </c>
      <c r="K8" s="141"/>
    </row>
    <row r="9" spans="2:11" ht="18.75" customHeight="1">
      <c r="D9" s="70"/>
      <c r="I9" s="142" t="s">
        <v>137</v>
      </c>
      <c r="J9" s="140">
        <v>19710</v>
      </c>
      <c r="K9" s="141"/>
    </row>
    <row r="10" spans="2:11" ht="33.7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92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/>
      <c r="K12" s="141"/>
    </row>
    <row r="13" spans="2:11" ht="15.75" customHeight="1">
      <c r="B13" s="73"/>
      <c r="C13" s="73"/>
      <c r="D13" s="73"/>
      <c r="I13" s="140" t="s">
        <v>141</v>
      </c>
      <c r="J13" s="140">
        <v>1</v>
      </c>
      <c r="K13" s="141"/>
    </row>
    <row r="14" spans="2:11" ht="15.75">
      <c r="B14" s="74" t="s">
        <v>2</v>
      </c>
      <c r="C14" s="75">
        <f>J6+K6</f>
        <v>2950.9</v>
      </c>
      <c r="D14" s="76" t="s">
        <v>72</v>
      </c>
      <c r="I14" s="140" t="s">
        <v>142</v>
      </c>
      <c r="J14" s="140">
        <v>1609</v>
      </c>
      <c r="K14" s="141"/>
    </row>
    <row r="15" spans="2:11" s="6" customFormat="1" ht="15.75">
      <c r="B15" s="77" t="s">
        <v>3</v>
      </c>
      <c r="C15" s="78">
        <v>684.6</v>
      </c>
      <c r="D15" s="79"/>
      <c r="E15" s="80"/>
      <c r="I15" s="140" t="s">
        <v>143</v>
      </c>
      <c r="J15" s="59">
        <v>1472.2</v>
      </c>
      <c r="K15" s="141"/>
    </row>
    <row r="16" spans="2:11" s="6" customFormat="1" ht="16.5" customHeight="1">
      <c r="B16" s="77"/>
      <c r="C16" s="78"/>
      <c r="D16" s="79"/>
      <c r="E16" s="80"/>
      <c r="I16" s="140" t="s">
        <v>144</v>
      </c>
      <c r="J16" s="140"/>
      <c r="K16" s="141"/>
    </row>
    <row r="17" spans="2:11" ht="31.5">
      <c r="B17" s="81" t="s">
        <v>4</v>
      </c>
      <c r="C17" s="82" t="s">
        <v>5</v>
      </c>
      <c r="D17" s="83" t="s">
        <v>6</v>
      </c>
      <c r="E17" s="178" t="s">
        <v>84</v>
      </c>
      <c r="I17" s="140" t="s">
        <v>145</v>
      </c>
      <c r="J17" s="213">
        <v>686.13112192931601</v>
      </c>
      <c r="K17" s="141"/>
    </row>
    <row r="18" spans="2:11" ht="25.5">
      <c r="B18" s="85" t="s">
        <v>7</v>
      </c>
      <c r="C18" s="149">
        <f>(J6*J5*12)+(K6*K5*12)</f>
        <v>817812.3</v>
      </c>
      <c r="D18" s="150" t="s">
        <v>246</v>
      </c>
      <c r="E18" s="86" t="s">
        <v>85</v>
      </c>
      <c r="I18" s="140" t="s">
        <v>146</v>
      </c>
      <c r="J18" s="140">
        <v>11.28</v>
      </c>
      <c r="K18" s="141"/>
    </row>
    <row r="19" spans="2:11" ht="38.25">
      <c r="B19" s="87" t="s">
        <v>8</v>
      </c>
      <c r="C19" s="214">
        <f>238*(211.42*6*1.45/12+226.93*6*1.45/12)*1.18</f>
        <v>89252.005149999997</v>
      </c>
      <c r="D19" s="215" t="s">
        <v>247</v>
      </c>
      <c r="E19" s="90"/>
      <c r="I19" s="140" t="s">
        <v>147</v>
      </c>
      <c r="J19" s="143">
        <v>0.63</v>
      </c>
      <c r="K19" s="144">
        <f>(J15/3+J14)/3358</f>
        <v>0.62529283303553707</v>
      </c>
    </row>
    <row r="20" spans="2:11">
      <c r="B20" s="91" t="s">
        <v>9</v>
      </c>
      <c r="C20" s="88">
        <f>C21+C24+C27+C30</f>
        <v>170366.20257599998</v>
      </c>
      <c r="D20" s="89"/>
      <c r="E20" s="90"/>
      <c r="I20" s="145" t="s">
        <v>148</v>
      </c>
      <c r="J20" s="145">
        <v>0.82</v>
      </c>
      <c r="K20" s="141">
        <f>J7/144</f>
        <v>0.81944444444444442</v>
      </c>
    </row>
    <row r="21" spans="2:11">
      <c r="B21" s="68" t="s">
        <v>68</v>
      </c>
      <c r="C21" s="92">
        <f>C22+C23</f>
        <v>23137.919999999998</v>
      </c>
      <c r="D21" s="93"/>
      <c r="E21" s="90"/>
      <c r="I21" s="146" t="s">
        <v>149</v>
      </c>
      <c r="J21" s="147">
        <v>1.39</v>
      </c>
      <c r="K21" s="141"/>
    </row>
    <row r="22" spans="2:11">
      <c r="B22" s="94" t="s">
        <v>10</v>
      </c>
      <c r="C22" s="167">
        <f>103*18.72*12</f>
        <v>23137.919999999998</v>
      </c>
      <c r="D22" s="208" t="s">
        <v>252</v>
      </c>
      <c r="E22" s="90" t="s">
        <v>85</v>
      </c>
      <c r="I22" s="58" t="s">
        <v>150</v>
      </c>
      <c r="J22" s="58">
        <v>1.45</v>
      </c>
      <c r="K22" s="141"/>
    </row>
    <row r="23" spans="2:11" ht="25.5">
      <c r="B23" s="94" t="s">
        <v>11</v>
      </c>
      <c r="C23" s="216">
        <f>0*(232.8*1.18*6+243.11*1.18*6)</f>
        <v>0</v>
      </c>
      <c r="D23" s="217" t="s">
        <v>219</v>
      </c>
      <c r="E23" s="90" t="s">
        <v>85</v>
      </c>
      <c r="I23" s="58" t="s">
        <v>151</v>
      </c>
      <c r="J23" s="58"/>
      <c r="K23" s="141"/>
    </row>
    <row r="24" spans="2:11">
      <c r="B24" s="68" t="s">
        <v>69</v>
      </c>
      <c r="C24" s="92">
        <f>C25+C26</f>
        <v>31595.432075999997</v>
      </c>
      <c r="D24" s="93"/>
      <c r="E24" s="90"/>
      <c r="I24" s="141" t="s">
        <v>152</v>
      </c>
      <c r="J24" s="141">
        <f>91.5+338.1+91.6+338.1</f>
        <v>859.30000000000007</v>
      </c>
      <c r="K24" s="141">
        <f>J24/620</f>
        <v>1.3859677419354839</v>
      </c>
    </row>
    <row r="25" spans="2:11">
      <c r="B25" s="94" t="s">
        <v>10</v>
      </c>
      <c r="C25" s="167">
        <f>123.1*18.72*12</f>
        <v>27653.183999999997</v>
      </c>
      <c r="D25" s="208" t="s">
        <v>253</v>
      </c>
      <c r="E25" s="90" t="s">
        <v>85</v>
      </c>
      <c r="I25" s="58" t="s">
        <v>153</v>
      </c>
      <c r="J25" s="58" t="s">
        <v>193</v>
      </c>
      <c r="K25" s="58"/>
    </row>
    <row r="26" spans="2:11" ht="25.5">
      <c r="B26" s="94" t="s">
        <v>11</v>
      </c>
      <c r="C26" s="216">
        <f>1.17*(232.8*1.18*6+243.11*1.18*6)</f>
        <v>3942.2480759999999</v>
      </c>
      <c r="D26" s="217" t="s">
        <v>254</v>
      </c>
      <c r="E26" s="90" t="s">
        <v>85</v>
      </c>
    </row>
    <row r="27" spans="2:11" ht="38.25">
      <c r="B27" s="68" t="s">
        <v>194</v>
      </c>
      <c r="C27" s="92">
        <f>C28+C29</f>
        <v>57911.629223999989</v>
      </c>
      <c r="D27" s="93"/>
      <c r="E27" s="90"/>
    </row>
    <row r="28" spans="2:11">
      <c r="B28" s="94" t="s">
        <v>10</v>
      </c>
      <c r="C28" s="167">
        <f>204.1*18.72*12</f>
        <v>45849.02399999999</v>
      </c>
      <c r="D28" s="208" t="s">
        <v>248</v>
      </c>
      <c r="E28" s="90" t="s">
        <v>85</v>
      </c>
    </row>
    <row r="29" spans="2:11" ht="25.5">
      <c r="B29" s="94" t="s">
        <v>11</v>
      </c>
      <c r="C29" s="216">
        <f>3.58*(232.8*1.18*6+243.11*1.18*6)</f>
        <v>12062.605224000001</v>
      </c>
      <c r="D29" s="217" t="s">
        <v>249</v>
      </c>
      <c r="E29" s="90" t="s">
        <v>85</v>
      </c>
    </row>
    <row r="30" spans="2:11">
      <c r="B30" s="68" t="s">
        <v>70</v>
      </c>
      <c r="C30" s="92">
        <f>C31+C32</f>
        <v>57721.221275999997</v>
      </c>
      <c r="D30" s="93"/>
      <c r="E30" s="90"/>
    </row>
    <row r="31" spans="2:11">
      <c r="B31" s="94" t="s">
        <v>10</v>
      </c>
      <c r="C31" s="167">
        <f>254.4*18.72*12</f>
        <v>57148.415999999997</v>
      </c>
      <c r="D31" s="208" t="s">
        <v>250</v>
      </c>
      <c r="E31" s="90" t="s">
        <v>85</v>
      </c>
    </row>
    <row r="32" spans="2:11" ht="25.5">
      <c r="B32" s="94" t="s">
        <v>11</v>
      </c>
      <c r="C32" s="216">
        <f>0.17*(232.8*1.18*6+243.11*1.18*6)</f>
        <v>572.80527600000005</v>
      </c>
      <c r="D32" s="217" t="s">
        <v>251</v>
      </c>
      <c r="E32" s="90" t="s">
        <v>85</v>
      </c>
    </row>
    <row r="33" spans="2:8" ht="15.75">
      <c r="B33" s="95" t="s">
        <v>12</v>
      </c>
      <c r="C33" s="1">
        <f>C18+C20</f>
        <v>988178.50257600006</v>
      </c>
      <c r="D33" s="96"/>
      <c r="E33" s="90"/>
    </row>
    <row r="34" spans="2:8" ht="25.5">
      <c r="B34" s="97" t="s">
        <v>13</v>
      </c>
      <c r="C34" s="1">
        <f>C35+C36+C37+C38+C39+C40+C41</f>
        <v>5189.76</v>
      </c>
      <c r="D34" s="96"/>
      <c r="E34" s="90"/>
    </row>
    <row r="35" spans="2:8">
      <c r="B35" s="68" t="s">
        <v>14</v>
      </c>
      <c r="C35" s="1">
        <f>34.98*12</f>
        <v>419.76</v>
      </c>
      <c r="D35" s="96" t="s">
        <v>15</v>
      </c>
      <c r="E35" s="90" t="s">
        <v>85</v>
      </c>
    </row>
    <row r="36" spans="2:8">
      <c r="B36" s="68" t="s">
        <v>16</v>
      </c>
      <c r="C36" s="1">
        <f>137.5*12*0</f>
        <v>0</v>
      </c>
      <c r="D36" s="96" t="s">
        <v>17</v>
      </c>
      <c r="E36" s="90"/>
    </row>
    <row r="37" spans="2:8">
      <c r="B37" s="68" t="s">
        <v>18</v>
      </c>
      <c r="C37" s="1">
        <f>123.75*12</f>
        <v>1485</v>
      </c>
      <c r="D37" s="96" t="s">
        <v>19</v>
      </c>
      <c r="E37" s="90" t="s">
        <v>85</v>
      </c>
    </row>
    <row r="38" spans="2:8">
      <c r="B38" s="68" t="s">
        <v>20</v>
      </c>
      <c r="C38" s="1">
        <f>123.75*12</f>
        <v>1485</v>
      </c>
      <c r="D38" s="96" t="s">
        <v>19</v>
      </c>
      <c r="E38" s="90" t="s">
        <v>85</v>
      </c>
    </row>
    <row r="39" spans="2:8">
      <c r="B39" s="68" t="s">
        <v>66</v>
      </c>
      <c r="C39" s="1">
        <f>150*12</f>
        <v>1800</v>
      </c>
      <c r="D39" s="96" t="s">
        <v>21</v>
      </c>
      <c r="E39" s="90" t="s">
        <v>85</v>
      </c>
    </row>
    <row r="40" spans="2:8">
      <c r="B40" s="68" t="s">
        <v>22</v>
      </c>
      <c r="C40" s="1">
        <f>137.5*12*0</f>
        <v>0</v>
      </c>
      <c r="D40" s="96" t="s">
        <v>17</v>
      </c>
      <c r="E40" s="90"/>
    </row>
    <row r="41" spans="2:8">
      <c r="B41" s="68" t="s">
        <v>23</v>
      </c>
      <c r="C41" s="1">
        <f>150*12*0</f>
        <v>0</v>
      </c>
      <c r="D41" s="96" t="s">
        <v>21</v>
      </c>
      <c r="E41" s="90"/>
    </row>
    <row r="42" spans="2:8">
      <c r="B42" s="97" t="s">
        <v>24</v>
      </c>
      <c r="C42" s="1">
        <f>C43</f>
        <v>0</v>
      </c>
      <c r="D42" s="96"/>
      <c r="E42" s="90"/>
    </row>
    <row r="43" spans="2:8">
      <c r="B43" s="68"/>
      <c r="C43" s="1"/>
      <c r="D43" s="96"/>
      <c r="E43" s="90"/>
    </row>
    <row r="44" spans="2:8" ht="18.75">
      <c r="B44" s="98" t="s">
        <v>26</v>
      </c>
      <c r="C44" s="99">
        <f>C33+C34+C42</f>
        <v>993368.26257600007</v>
      </c>
      <c r="D44" s="96"/>
      <c r="E44" s="90"/>
    </row>
    <row r="45" spans="2:8" ht="31.5">
      <c r="B45" s="82" t="s">
        <v>27</v>
      </c>
      <c r="C45" s="100" t="s">
        <v>5</v>
      </c>
      <c r="D45" s="101" t="s">
        <v>28</v>
      </c>
      <c r="E45" s="90"/>
    </row>
    <row r="46" spans="2:8" ht="15.75">
      <c r="B46" s="102" t="s">
        <v>29</v>
      </c>
      <c r="C46" s="88"/>
      <c r="D46" s="103"/>
      <c r="E46" s="90"/>
      <c r="H46" s="7"/>
    </row>
    <row r="47" spans="2:8" ht="51">
      <c r="B47" s="104" t="s">
        <v>30</v>
      </c>
      <c r="C47" s="218">
        <f>(0.63*(3565+200)*1.5*1.15*1.083*1.302*3)+(0.63*(3708+200)*1.5*1.15*1.083*1.302*9)+(0.1*1609*12)</f>
        <v>73136.330141308499</v>
      </c>
      <c r="D47" s="219" t="s">
        <v>255</v>
      </c>
      <c r="E47" s="90" t="s">
        <v>86</v>
      </c>
      <c r="H47" s="8"/>
    </row>
    <row r="48" spans="2:8" ht="25.5">
      <c r="B48" s="104" t="s">
        <v>31</v>
      </c>
      <c r="C48" s="228">
        <f>(1.39*9538.51*3)+(1.39*9921.13*9)</f>
        <v>163888.92299999998</v>
      </c>
      <c r="D48" s="231" t="s">
        <v>256</v>
      </c>
      <c r="E48" s="90"/>
      <c r="G48" s="5">
        <v>1.39</v>
      </c>
      <c r="H48" s="8"/>
    </row>
    <row r="49" spans="2:8" ht="38.25">
      <c r="B49" s="104" t="s">
        <v>32</v>
      </c>
      <c r="C49" s="228">
        <f>(0.82*9538.51*3)+(0.82*9921.13*9)+(118*11.48767*12)</f>
        <v>112949.21471999999</v>
      </c>
      <c r="D49" s="231" t="s">
        <v>257</v>
      </c>
      <c r="E49" s="90" t="s">
        <v>86</v>
      </c>
      <c r="G49" s="5">
        <v>11.064109999999999</v>
      </c>
      <c r="H49" s="8"/>
    </row>
    <row r="50" spans="2:8" s="9" customFormat="1" ht="51">
      <c r="B50" s="104" t="s">
        <v>33</v>
      </c>
      <c r="C50" s="220">
        <f>238*(360.84*0.025*3+362.52*0.025*3+382.25*0.025*6)</f>
        <v>26558.300999999999</v>
      </c>
      <c r="D50" s="221" t="s">
        <v>258</v>
      </c>
      <c r="E50" s="86" t="s">
        <v>87</v>
      </c>
      <c r="H50" s="8"/>
    </row>
    <row r="51" spans="2:8" ht="15.75">
      <c r="B51" s="104" t="s">
        <v>34</v>
      </c>
      <c r="C51" s="222">
        <f>(16.86+17.53)*0</f>
        <v>0</v>
      </c>
      <c r="D51" s="223" t="s">
        <v>259</v>
      </c>
      <c r="E51" s="90" t="s">
        <v>88</v>
      </c>
      <c r="H51" s="8"/>
    </row>
    <row r="52" spans="2:8" ht="36.75" customHeight="1">
      <c r="B52" s="104" t="s">
        <v>35</v>
      </c>
      <c r="C52" s="222">
        <f>(49.72+51.71)*2*0</f>
        <v>0</v>
      </c>
      <c r="D52" s="223" t="s">
        <v>220</v>
      </c>
      <c r="E52" s="90"/>
      <c r="H52" s="8"/>
    </row>
    <row r="53" spans="2:8" ht="15.75">
      <c r="B53" s="104" t="s">
        <v>36</v>
      </c>
      <c r="C53" s="164">
        <f>0.25*(742.5+2*10)*12</f>
        <v>2287.5</v>
      </c>
      <c r="D53" s="150" t="s">
        <v>195</v>
      </c>
      <c r="E53" s="90" t="s">
        <v>85</v>
      </c>
      <c r="H53" s="8"/>
    </row>
    <row r="54" spans="2:8" ht="15.75">
      <c r="B54" s="106" t="s">
        <v>37</v>
      </c>
      <c r="C54" s="164">
        <f>2.34*(742.5+2*10)*4</f>
        <v>7137</v>
      </c>
      <c r="D54" s="150" t="s">
        <v>196</v>
      </c>
      <c r="E54" s="90" t="s">
        <v>89</v>
      </c>
      <c r="H54" s="8"/>
    </row>
    <row r="55" spans="2:8" ht="25.5">
      <c r="B55" s="115" t="s">
        <v>67</v>
      </c>
      <c r="C55" s="224">
        <f>(700.55*6+728.57*6)</f>
        <v>8574.7199999999993</v>
      </c>
      <c r="D55" s="225" t="s">
        <v>221</v>
      </c>
      <c r="E55" s="90" t="s">
        <v>85</v>
      </c>
      <c r="H55" s="8"/>
    </row>
    <row r="56" spans="2:8" ht="15.75" hidden="1">
      <c r="B56" s="115" t="s">
        <v>158</v>
      </c>
      <c r="C56" s="4">
        <f>0*12</f>
        <v>0</v>
      </c>
      <c r="D56" s="72" t="s">
        <v>197</v>
      </c>
      <c r="E56" s="90" t="s">
        <v>85</v>
      </c>
      <c r="H56" s="8"/>
    </row>
    <row r="57" spans="2:8" ht="15.75" hidden="1">
      <c r="B57" s="87" t="s">
        <v>39</v>
      </c>
      <c r="C57" s="4">
        <f>4654.51/1.18*12*0</f>
        <v>0</v>
      </c>
      <c r="D57" s="72" t="s">
        <v>40</v>
      </c>
      <c r="E57" s="90"/>
      <c r="H57" s="8"/>
    </row>
    <row r="58" spans="2:8" ht="15.75" hidden="1">
      <c r="B58" s="87" t="s">
        <v>41</v>
      </c>
      <c r="C58" s="4">
        <f>4478.88*1*12*0</f>
        <v>0</v>
      </c>
      <c r="D58" s="72" t="s">
        <v>42</v>
      </c>
      <c r="E58" s="90"/>
      <c r="H58" s="8"/>
    </row>
    <row r="59" spans="2:8" ht="15.75" hidden="1">
      <c r="B59" s="87" t="s">
        <v>43</v>
      </c>
      <c r="C59" s="4">
        <f>53320/1.18*0</f>
        <v>0</v>
      </c>
      <c r="D59" s="72" t="s">
        <v>44</v>
      </c>
      <c r="E59" s="90"/>
      <c r="H59" s="8"/>
    </row>
    <row r="60" spans="2:8" ht="50.25" customHeight="1">
      <c r="B60" s="87" t="s">
        <v>45</v>
      </c>
      <c r="C60" s="227">
        <f>238*(211.42*6*1.45/12+226.93*6*1.45/12)</f>
        <v>75637.292499999996</v>
      </c>
      <c r="D60" s="225" t="s">
        <v>260</v>
      </c>
      <c r="E60" s="90" t="s">
        <v>87</v>
      </c>
      <c r="H60" s="8"/>
    </row>
    <row r="61" spans="2:8" ht="25.5">
      <c r="B61" s="87" t="s">
        <v>46</v>
      </c>
      <c r="C61" s="224">
        <f>4.92*(232.8*6+243.11*6)</f>
        <v>14048.8632</v>
      </c>
      <c r="D61" s="228" t="s">
        <v>261</v>
      </c>
      <c r="E61" s="90" t="s">
        <v>87</v>
      </c>
      <c r="H61" s="8"/>
    </row>
    <row r="62" spans="2:8" ht="15.75">
      <c r="B62" s="108" t="s">
        <v>47</v>
      </c>
      <c r="C62" s="109">
        <f>C47+C48+C49+C50+C51+C52+C53+C54+C55+C56+C57+C58+C59+C60+C61</f>
        <v>484218.14456130844</v>
      </c>
      <c r="D62" s="110"/>
      <c r="E62" s="90"/>
    </row>
    <row r="63" spans="2:8">
      <c r="B63" s="104" t="s">
        <v>48</v>
      </c>
      <c r="C63" s="1"/>
      <c r="D63" s="96"/>
      <c r="E63" s="90"/>
    </row>
    <row r="64" spans="2:8" s="10" customFormat="1" ht="51">
      <c r="B64" s="112" t="s">
        <v>49</v>
      </c>
      <c r="C64" s="222">
        <f>(11.28*96.4189*3)+(11.28*100.2864*9)+(1.78*(C14+C15)*12)</f>
        <v>91098.170903999999</v>
      </c>
      <c r="D64" s="229" t="s">
        <v>262</v>
      </c>
      <c r="E64" s="113"/>
    </row>
    <row r="65" spans="2:8">
      <c r="B65" s="106" t="s">
        <v>50</v>
      </c>
      <c r="C65" s="1">
        <f>13.69*742.5*0</f>
        <v>0</v>
      </c>
      <c r="D65" s="96" t="s">
        <v>263</v>
      </c>
      <c r="E65" s="90" t="s">
        <v>441</v>
      </c>
    </row>
    <row r="66" spans="2:8" ht="114.75">
      <c r="B66" s="114" t="s">
        <v>120</v>
      </c>
      <c r="C66" s="4">
        <f>17.51*(C14+C15)*0</f>
        <v>0</v>
      </c>
      <c r="D66" s="96" t="s">
        <v>264</v>
      </c>
      <c r="E66" s="90"/>
    </row>
    <row r="67" spans="2:8" ht="51">
      <c r="B67" s="104" t="s">
        <v>51</v>
      </c>
      <c r="C67" s="222">
        <f>(632.04+251.07/3)*19710/1000</f>
        <v>14107.0383</v>
      </c>
      <c r="D67" s="229" t="s">
        <v>265</v>
      </c>
      <c r="E67" s="115" t="s">
        <v>91</v>
      </c>
    </row>
    <row r="68" spans="2:8" ht="51">
      <c r="B68" s="116" t="s">
        <v>52</v>
      </c>
      <c r="C68" s="230">
        <f>((686.13/12*3*96.4189)+(686.13/12*9*100.2864))+((686.13/12*3*96.4189)+(686.13/12*9*100.2864))/1.302*25%</f>
        <v>81230.995413336408</v>
      </c>
      <c r="D68" s="229" t="s">
        <v>266</v>
      </c>
      <c r="E68" s="90"/>
    </row>
    <row r="69" spans="2:8" ht="15.75">
      <c r="B69" s="117" t="s">
        <v>53</v>
      </c>
      <c r="C69" s="109">
        <f>C64+C65+C66+C67+C68</f>
        <v>186436.20461733639</v>
      </c>
      <c r="D69" s="110"/>
      <c r="E69" s="90"/>
    </row>
    <row r="70" spans="2:8">
      <c r="B70" s="116" t="s">
        <v>54</v>
      </c>
      <c r="C70" s="1"/>
      <c r="D70" s="96"/>
      <c r="E70" s="90"/>
    </row>
    <row r="71" spans="2:8" s="9" customFormat="1" ht="12.75">
      <c r="B71" s="118" t="s">
        <v>55</v>
      </c>
      <c r="C71" s="2">
        <v>0</v>
      </c>
      <c r="D71" s="119"/>
      <c r="E71" s="86"/>
    </row>
    <row r="72" spans="2:8">
      <c r="B72" s="116" t="s">
        <v>56</v>
      </c>
      <c r="C72" s="88">
        <v>0</v>
      </c>
      <c r="D72" s="120"/>
      <c r="E72" s="90"/>
    </row>
    <row r="73" spans="2:8">
      <c r="B73" s="116" t="s">
        <v>57</v>
      </c>
      <c r="C73" s="88"/>
      <c r="D73" s="120"/>
      <c r="E73" s="90"/>
    </row>
    <row r="74" spans="2:8">
      <c r="B74" s="116" t="s">
        <v>58</v>
      </c>
      <c r="C74" s="88"/>
      <c r="D74" s="120"/>
      <c r="E74" s="90"/>
    </row>
    <row r="75" spans="2:8">
      <c r="B75" s="116" t="s">
        <v>59</v>
      </c>
      <c r="C75" s="88"/>
      <c r="D75" s="120"/>
      <c r="E75" s="90"/>
    </row>
    <row r="76" spans="2:8" ht="15.75">
      <c r="B76" s="117" t="s">
        <v>60</v>
      </c>
      <c r="C76" s="121">
        <f>C71+C72</f>
        <v>0</v>
      </c>
      <c r="D76" s="122"/>
      <c r="E76" s="90"/>
    </row>
    <row r="77" spans="2:8">
      <c r="B77" s="123" t="s">
        <v>61</v>
      </c>
      <c r="C77" s="88">
        <f>3.05*(C14+C15)</f>
        <v>11088.275</v>
      </c>
      <c r="D77" s="120" t="s">
        <v>267</v>
      </c>
      <c r="E77" s="90"/>
    </row>
    <row r="78" spans="2:8" ht="15.75">
      <c r="B78" s="124" t="s">
        <v>62</v>
      </c>
      <c r="C78" s="125">
        <f>1.49*(C14+C15)</f>
        <v>5416.8949999999995</v>
      </c>
      <c r="D78" s="126" t="s">
        <v>443</v>
      </c>
      <c r="E78" s="90"/>
      <c r="H78" s="11"/>
    </row>
    <row r="79" spans="2:8">
      <c r="B79" s="68" t="s">
        <v>63</v>
      </c>
      <c r="C79" s="88">
        <f>(C62+C69)*0.341</f>
        <v>228693.13306991791</v>
      </c>
      <c r="D79" s="120" t="s">
        <v>224</v>
      </c>
      <c r="E79" s="90"/>
    </row>
    <row r="80" spans="2:8" ht="38.25">
      <c r="B80" s="68" t="s">
        <v>121</v>
      </c>
      <c r="C80" s="125">
        <f>(C62+C69+C79)*0.132</f>
        <v>118713.86765681028</v>
      </c>
      <c r="D80" s="69" t="s">
        <v>225</v>
      </c>
      <c r="E80" s="90" t="s">
        <v>85</v>
      </c>
    </row>
    <row r="81" spans="2:5" ht="15.75">
      <c r="B81" s="127" t="s">
        <v>122</v>
      </c>
      <c r="C81" s="121">
        <f>C77+C78+C79+C80</f>
        <v>363912.17072672816</v>
      </c>
      <c r="D81" s="122"/>
      <c r="E81" s="90"/>
    </row>
    <row r="82" spans="2:5">
      <c r="B82" s="68" t="s">
        <v>64</v>
      </c>
      <c r="C82" s="88">
        <f>(C62+C69+C76+C81)*3%</f>
        <v>31036.995597161189</v>
      </c>
      <c r="D82" s="120"/>
      <c r="E82" s="90"/>
    </row>
    <row r="83" spans="2:5" ht="15.75">
      <c r="B83" s="128" t="s">
        <v>26</v>
      </c>
      <c r="C83" s="129">
        <f>C62+C69+C76+C81+C82</f>
        <v>1065603.5155025341</v>
      </c>
      <c r="D83" s="130"/>
      <c r="E83" s="90"/>
    </row>
    <row r="84" spans="2:5" ht="15.75">
      <c r="B84" s="128" t="s">
        <v>65</v>
      </c>
      <c r="C84" s="129">
        <f>C83*1.18</f>
        <v>1257412.1482929902</v>
      </c>
      <c r="D84" s="130"/>
      <c r="E84" s="90"/>
    </row>
    <row r="85" spans="2:5" ht="15.75">
      <c r="B85" s="131"/>
      <c r="C85" s="132">
        <f>C44-C84</f>
        <v>-264043.8857169901</v>
      </c>
      <c r="D85" s="133"/>
      <c r="E85" s="90"/>
    </row>
    <row r="86" spans="2:5" ht="30">
      <c r="B86" s="134" t="s">
        <v>123</v>
      </c>
      <c r="C86" s="135">
        <f>C84/(C14+C15)/12</f>
        <v>28.822540418397057</v>
      </c>
      <c r="D86" s="136" t="s">
        <v>125</v>
      </c>
      <c r="E86" s="137"/>
    </row>
    <row r="87" spans="2:5">
      <c r="B87" s="138"/>
      <c r="E87" s="138"/>
    </row>
    <row r="88" spans="2:5" ht="22.5" customHeight="1">
      <c r="B88" s="802" t="s">
        <v>124</v>
      </c>
      <c r="C88" s="802"/>
      <c r="D88" s="802"/>
      <c r="E88" s="138"/>
    </row>
    <row r="89" spans="2:5" ht="33.75" customHeight="1">
      <c r="B89" s="803" t="s">
        <v>226</v>
      </c>
      <c r="C89" s="803"/>
      <c r="D89" s="803"/>
      <c r="E89" s="803"/>
    </row>
    <row r="90" spans="2:5" ht="34.5" customHeight="1">
      <c r="B90" s="803" t="s">
        <v>227</v>
      </c>
      <c r="C90" s="803"/>
      <c r="D90" s="803"/>
      <c r="E90" s="803"/>
    </row>
    <row r="91" spans="2:5" ht="26.25" customHeight="1">
      <c r="B91" s="157"/>
      <c r="C91" s="158"/>
      <c r="D91" s="159"/>
      <c r="E91" s="138"/>
    </row>
    <row r="92" spans="2:5">
      <c r="B92" s="160"/>
      <c r="C92" s="161"/>
      <c r="D92" s="162"/>
      <c r="E92" s="138"/>
    </row>
    <row r="93" spans="2:5">
      <c r="B93" s="797" t="s">
        <v>188</v>
      </c>
      <c r="C93" s="797"/>
      <c r="D93" s="797"/>
      <c r="E93" s="138"/>
    </row>
    <row r="94" spans="2:5">
      <c r="B94" s="797"/>
      <c r="C94" s="797"/>
      <c r="D94" s="797"/>
    </row>
    <row r="105" spans="2:5" s="12" customFormat="1">
      <c r="B105" s="66"/>
      <c r="C105" s="66"/>
      <c r="D105" s="66"/>
      <c r="E105" s="67"/>
    </row>
    <row r="106" spans="2:5" s="12" customFormat="1">
      <c r="B106" s="66"/>
      <c r="C106" s="66"/>
      <c r="D106" s="66"/>
      <c r="E106" s="67"/>
    </row>
    <row r="107" spans="2:5" s="12" customFormat="1">
      <c r="B107" s="66"/>
      <c r="C107" s="66"/>
      <c r="D107" s="66"/>
      <c r="E107" s="67"/>
    </row>
    <row r="108" spans="2:5" s="12" customFormat="1">
      <c r="B108" s="66"/>
      <c r="C108" s="66"/>
      <c r="D108" s="66"/>
      <c r="E108" s="67"/>
    </row>
    <row r="109" spans="2:5" s="12" customFormat="1">
      <c r="B109" s="66"/>
      <c r="C109" s="66"/>
      <c r="D109" s="66"/>
      <c r="E109" s="67"/>
    </row>
    <row r="110" spans="2:5" s="12" customFormat="1">
      <c r="B110" s="66"/>
      <c r="C110" s="66"/>
      <c r="D110" s="66"/>
      <c r="E110" s="67"/>
    </row>
    <row r="111" spans="2:5" s="12" customFormat="1">
      <c r="B111" s="66"/>
      <c r="C111" s="66"/>
      <c r="D111" s="66"/>
      <c r="E111" s="67"/>
    </row>
    <row r="112" spans="2:5" s="12" customFormat="1">
      <c r="B112" s="66"/>
      <c r="C112" s="66"/>
      <c r="D112" s="66"/>
      <c r="E112" s="67"/>
    </row>
  </sheetData>
  <mergeCells count="7">
    <mergeCell ref="B88:D88"/>
    <mergeCell ref="B94:D94"/>
    <mergeCell ref="B10:E10"/>
    <mergeCell ref="B11:E12"/>
    <mergeCell ref="B93:D93"/>
    <mergeCell ref="B89:E89"/>
    <mergeCell ref="B90:E90"/>
  </mergeCells>
  <pageMargins left="0.15748031496062992" right="0.15748031496062992" top="0.31496062992125984" bottom="0.74803149606299213" header="0.19685039370078741" footer="0.31496062992125984"/>
  <pageSetup paperSize="9" scale="95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3"/>
  <sheetViews>
    <sheetView topLeftCell="A52" workbookViewId="0">
      <selection activeCell="E57" sqref="E57"/>
    </sheetView>
  </sheetViews>
  <sheetFormatPr defaultColWidth="9.140625" defaultRowHeight="15"/>
  <cols>
    <col min="1" max="1" width="4" style="13" customWidth="1"/>
    <col min="2" max="2" width="44.7109375" style="66" customWidth="1"/>
    <col min="3" max="3" width="14.5703125" style="66" customWidth="1"/>
    <col min="4" max="4" width="33.42578125" style="66" customWidth="1"/>
    <col min="5" max="5" width="20.5703125" style="67" customWidth="1"/>
    <col min="6" max="6" width="4.7109375" style="13" customWidth="1"/>
    <col min="7" max="7" width="11.5703125" style="13" customWidth="1"/>
    <col min="8" max="8" width="9.140625" style="13"/>
    <col min="9" max="9" width="14.28515625" style="13" customWidth="1"/>
    <col min="10" max="16384" width="9.140625" style="13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24.77</v>
      </c>
      <c r="K5" s="141" t="s">
        <v>167</v>
      </c>
    </row>
    <row r="6" spans="2:11" ht="15.75">
      <c r="D6" s="163"/>
      <c r="E6" s="65"/>
      <c r="I6" s="140" t="s">
        <v>134</v>
      </c>
      <c r="J6" s="140">
        <v>14604.4</v>
      </c>
      <c r="K6" s="141"/>
    </row>
    <row r="7" spans="2:11" ht="15.75">
      <c r="D7" s="163" t="s">
        <v>217</v>
      </c>
      <c r="E7" s="65"/>
      <c r="I7" s="140" t="s">
        <v>135</v>
      </c>
      <c r="J7" s="140">
        <v>252</v>
      </c>
      <c r="K7" s="141"/>
    </row>
    <row r="8" spans="2:11" ht="15.75">
      <c r="D8" s="70"/>
      <c r="I8" s="140" t="s">
        <v>136</v>
      </c>
      <c r="J8" s="212">
        <v>781</v>
      </c>
      <c r="K8" s="141"/>
    </row>
    <row r="9" spans="2:11" ht="15.75">
      <c r="D9" s="70"/>
      <c r="I9" s="142" t="s">
        <v>137</v>
      </c>
      <c r="J9" s="140">
        <v>69156</v>
      </c>
      <c r="K9" s="141"/>
    </row>
    <row r="10" spans="2:11" ht="33.7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93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/>
      <c r="K12" s="141"/>
    </row>
    <row r="13" spans="2:11" ht="15.75">
      <c r="B13" s="73"/>
      <c r="C13" s="73"/>
      <c r="D13" s="73"/>
      <c r="I13" s="140" t="s">
        <v>141</v>
      </c>
      <c r="J13" s="140"/>
      <c r="K13" s="141"/>
    </row>
    <row r="14" spans="2:11" ht="15.75">
      <c r="B14" s="74" t="s">
        <v>2</v>
      </c>
      <c r="C14" s="75">
        <v>14614.1</v>
      </c>
      <c r="D14" s="76" t="s">
        <v>72</v>
      </c>
      <c r="I14" s="140" t="s">
        <v>142</v>
      </c>
      <c r="J14" s="140">
        <v>4035.6</v>
      </c>
      <c r="K14" s="141"/>
    </row>
    <row r="15" spans="2:11" s="14" customFormat="1" ht="15.75">
      <c r="B15" s="77" t="s">
        <v>3</v>
      </c>
      <c r="C15" s="78">
        <v>374.1</v>
      </c>
      <c r="D15" s="79"/>
      <c r="E15" s="80"/>
      <c r="I15" s="140" t="s">
        <v>143</v>
      </c>
      <c r="J15" s="59">
        <v>7605.8</v>
      </c>
      <c r="K15" s="141"/>
    </row>
    <row r="16" spans="2:11" s="14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1636.61222718916</v>
      </c>
      <c r="K17" s="141"/>
    </row>
    <row r="18" spans="2:11">
      <c r="B18" s="85" t="s">
        <v>7</v>
      </c>
      <c r="C18" s="149">
        <f>C14*24.77*12</f>
        <v>4343895.0839999998</v>
      </c>
      <c r="D18" s="150" t="s">
        <v>268</v>
      </c>
      <c r="E18" s="86" t="s">
        <v>85</v>
      </c>
      <c r="I18" s="140" t="s">
        <v>146</v>
      </c>
      <c r="J18" s="140">
        <v>32.68</v>
      </c>
      <c r="K18" s="141"/>
    </row>
    <row r="19" spans="2:11" ht="38.25">
      <c r="B19" s="87" t="s">
        <v>8</v>
      </c>
      <c r="C19" s="214">
        <f>781*(211.42*6*1.45/12+226.93*6*1.45/12)*1.18</f>
        <v>292881.57992499997</v>
      </c>
      <c r="D19" s="215" t="s">
        <v>269</v>
      </c>
      <c r="E19" s="90"/>
      <c r="I19" s="140" t="s">
        <v>147</v>
      </c>
      <c r="J19" s="143">
        <v>1.96</v>
      </c>
      <c r="K19" s="144">
        <f>(J15/3+J14)/3358</f>
        <v>1.9567798292634504</v>
      </c>
    </row>
    <row r="20" spans="2:11">
      <c r="B20" s="91" t="s">
        <v>9</v>
      </c>
      <c r="C20" s="88">
        <f>C21+C24</f>
        <v>103251.6</v>
      </c>
      <c r="D20" s="89"/>
      <c r="E20" s="90"/>
      <c r="I20" s="145" t="s">
        <v>148</v>
      </c>
      <c r="J20" s="145"/>
      <c r="K20" s="144">
        <f>J7/144</f>
        <v>1.75</v>
      </c>
    </row>
    <row r="21" spans="2:11" ht="25.5">
      <c r="B21" s="68" t="s">
        <v>71</v>
      </c>
      <c r="C21" s="92">
        <f>C22+C23</f>
        <v>96600</v>
      </c>
      <c r="D21" s="93"/>
      <c r="E21" s="90"/>
      <c r="I21" s="146" t="s">
        <v>149</v>
      </c>
      <c r="J21" s="147"/>
      <c r="K21" s="144"/>
    </row>
    <row r="22" spans="2:11">
      <c r="B22" s="94" t="s">
        <v>10</v>
      </c>
      <c r="C22" s="167">
        <f>350*23*12</f>
        <v>96600</v>
      </c>
      <c r="D22" s="208" t="s">
        <v>271</v>
      </c>
      <c r="E22" s="90" t="s">
        <v>85</v>
      </c>
      <c r="I22" s="58" t="s">
        <v>150</v>
      </c>
      <c r="J22" s="58">
        <v>1.45</v>
      </c>
      <c r="K22" s="144"/>
    </row>
    <row r="23" spans="2:11" ht="25.5">
      <c r="B23" s="94" t="s">
        <v>11</v>
      </c>
      <c r="C23" s="216">
        <f>0*(232.8*1.18*6+243.11*1.18*6)</f>
        <v>0</v>
      </c>
      <c r="D23" s="217" t="s">
        <v>219</v>
      </c>
      <c r="E23" s="90" t="s">
        <v>85</v>
      </c>
      <c r="I23" s="58" t="s">
        <v>151</v>
      </c>
      <c r="J23" s="58"/>
      <c r="K23" s="144"/>
    </row>
    <row r="24" spans="2:11" s="58" customFormat="1" ht="25.5">
      <c r="B24" s="68" t="s">
        <v>174</v>
      </c>
      <c r="C24" s="92">
        <f>C25+C26</f>
        <v>6651.6</v>
      </c>
      <c r="D24" s="93"/>
      <c r="E24" s="90"/>
      <c r="I24" s="141" t="s">
        <v>152</v>
      </c>
      <c r="J24" s="141">
        <f>1916.6+113.4</f>
        <v>2030</v>
      </c>
      <c r="K24" s="144">
        <f>J24/820</f>
        <v>2.475609756097561</v>
      </c>
    </row>
    <row r="25" spans="2:11" s="58" customFormat="1">
      <c r="B25" s="94" t="s">
        <v>10</v>
      </c>
      <c r="C25" s="167">
        <f>24.1*23*12</f>
        <v>6651.6</v>
      </c>
      <c r="D25" s="208" t="s">
        <v>270</v>
      </c>
      <c r="E25" s="90" t="s">
        <v>85</v>
      </c>
      <c r="I25" s="58" t="s">
        <v>153</v>
      </c>
      <c r="J25" s="58" t="s">
        <v>173</v>
      </c>
      <c r="K25" s="148"/>
    </row>
    <row r="26" spans="2:11" s="58" customFormat="1" ht="25.5">
      <c r="B26" s="94" t="s">
        <v>11</v>
      </c>
      <c r="C26" s="216">
        <f>0*(232.8*1.18*6+243.11*1.18*6)</f>
        <v>0</v>
      </c>
      <c r="D26" s="217" t="s">
        <v>219</v>
      </c>
      <c r="E26" s="90" t="s">
        <v>85</v>
      </c>
      <c r="K26" s="144"/>
    </row>
    <row r="27" spans="2:11" ht="15.75">
      <c r="B27" s="95" t="s">
        <v>12</v>
      </c>
      <c r="C27" s="1">
        <f>C18+C20</f>
        <v>4447146.6839999994</v>
      </c>
      <c r="D27" s="96"/>
      <c r="E27" s="90"/>
    </row>
    <row r="28" spans="2:11">
      <c r="B28" s="97" t="s">
        <v>13</v>
      </c>
      <c r="C28" s="1">
        <f>C29+C30+C31+C32+C33+C34+C35</f>
        <v>5189.76</v>
      </c>
      <c r="D28" s="96"/>
      <c r="E28" s="90"/>
    </row>
    <row r="29" spans="2:11">
      <c r="B29" s="68" t="s">
        <v>14</v>
      </c>
      <c r="C29" s="1">
        <f>34.98*12</f>
        <v>419.76</v>
      </c>
      <c r="D29" s="96" t="s">
        <v>15</v>
      </c>
      <c r="E29" s="90" t="s">
        <v>85</v>
      </c>
    </row>
    <row r="30" spans="2:11">
      <c r="B30" s="68" t="s">
        <v>16</v>
      </c>
      <c r="C30" s="1">
        <f>137.5*12*0</f>
        <v>0</v>
      </c>
      <c r="D30" s="96" t="s">
        <v>17</v>
      </c>
      <c r="E30" s="90"/>
    </row>
    <row r="31" spans="2:11">
      <c r="B31" s="68" t="s">
        <v>18</v>
      </c>
      <c r="C31" s="1">
        <f>123.75*12</f>
        <v>1485</v>
      </c>
      <c r="D31" s="96" t="s">
        <v>19</v>
      </c>
      <c r="E31" s="90" t="s">
        <v>85</v>
      </c>
    </row>
    <row r="32" spans="2:11">
      <c r="B32" s="68" t="s">
        <v>20</v>
      </c>
      <c r="C32" s="1">
        <f>123.75*12</f>
        <v>1485</v>
      </c>
      <c r="D32" s="96" t="s">
        <v>19</v>
      </c>
      <c r="E32" s="90" t="s">
        <v>85</v>
      </c>
    </row>
    <row r="33" spans="2:8">
      <c r="B33" s="68" t="s">
        <v>66</v>
      </c>
      <c r="C33" s="1">
        <f>150*12</f>
        <v>1800</v>
      </c>
      <c r="D33" s="96" t="s">
        <v>21</v>
      </c>
      <c r="E33" s="90" t="s">
        <v>85</v>
      </c>
    </row>
    <row r="34" spans="2:8">
      <c r="B34" s="68" t="s">
        <v>22</v>
      </c>
      <c r="C34" s="1">
        <f>137.5*12*0</f>
        <v>0</v>
      </c>
      <c r="D34" s="96" t="s">
        <v>17</v>
      </c>
      <c r="E34" s="90"/>
    </row>
    <row r="35" spans="2:8">
      <c r="B35" s="68" t="s">
        <v>23</v>
      </c>
      <c r="C35" s="1">
        <f>150*12*0</f>
        <v>0</v>
      </c>
      <c r="D35" s="96" t="s">
        <v>21</v>
      </c>
      <c r="E35" s="90"/>
    </row>
    <row r="36" spans="2:8">
      <c r="B36" s="97" t="s">
        <v>24</v>
      </c>
      <c r="C36" s="1">
        <f>C37</f>
        <v>0</v>
      </c>
      <c r="D36" s="96"/>
      <c r="E36" s="90"/>
    </row>
    <row r="37" spans="2:8">
      <c r="B37" s="68"/>
      <c r="C37" s="1"/>
      <c r="D37" s="96"/>
      <c r="E37" s="90"/>
    </row>
    <row r="38" spans="2:8" ht="18.75">
      <c r="B38" s="98" t="s">
        <v>26</v>
      </c>
      <c r="C38" s="99">
        <f>C27+C28+C36</f>
        <v>4452336.4439999992</v>
      </c>
      <c r="D38" s="96"/>
      <c r="E38" s="90"/>
    </row>
    <row r="39" spans="2:8" ht="15.75">
      <c r="B39" s="82" t="s">
        <v>27</v>
      </c>
      <c r="C39" s="100" t="s">
        <v>5</v>
      </c>
      <c r="D39" s="101" t="s">
        <v>28</v>
      </c>
      <c r="E39" s="90"/>
    </row>
    <row r="40" spans="2:8" ht="15.75">
      <c r="B40" s="102" t="s">
        <v>29</v>
      </c>
      <c r="C40" s="88"/>
      <c r="D40" s="103"/>
      <c r="E40" s="90"/>
      <c r="H40" s="15"/>
    </row>
    <row r="41" spans="2:8" ht="51">
      <c r="B41" s="104" t="s">
        <v>30</v>
      </c>
      <c r="C41" s="218">
        <f>(1.96*(3565+200)*1.5*1.15*1.083*1.302*3)+(1.96*(3708+200)*1.5*1.15*1.083*1.302*9)+(0.1*4035.6*12)</f>
        <v>226371.03599518197</v>
      </c>
      <c r="D41" s="219" t="s">
        <v>272</v>
      </c>
      <c r="E41" s="90" t="s">
        <v>86</v>
      </c>
      <c r="H41" s="16"/>
    </row>
    <row r="42" spans="2:8" ht="25.5">
      <c r="B42" s="104" t="s">
        <v>31</v>
      </c>
      <c r="C42" s="228">
        <f>(2.48*9538.51*3)+(2.48*9921.13*9)</f>
        <v>292406.136</v>
      </c>
      <c r="D42" s="231" t="s">
        <v>273</v>
      </c>
      <c r="E42" s="90"/>
      <c r="H42" s="16"/>
    </row>
    <row r="43" spans="2:8" ht="38.25">
      <c r="B43" s="104" t="s">
        <v>32</v>
      </c>
      <c r="C43" s="228">
        <f>(1.75*9538.51*3)+(1.75*9921.13*9)+(252*11.48767*12)</f>
        <v>241073.68907999998</v>
      </c>
      <c r="D43" s="231" t="s">
        <v>274</v>
      </c>
      <c r="E43" s="90" t="s">
        <v>86</v>
      </c>
      <c r="H43" s="16"/>
    </row>
    <row r="44" spans="2:8" s="17" customFormat="1" ht="51">
      <c r="B44" s="104" t="s">
        <v>33</v>
      </c>
      <c r="C44" s="220">
        <f>781*(360.84*0.025*3+362.52*0.025*3+382.25*0.025*6)</f>
        <v>87151.3995</v>
      </c>
      <c r="D44" s="221" t="s">
        <v>275</v>
      </c>
      <c r="E44" s="86" t="s">
        <v>87</v>
      </c>
      <c r="H44" s="16"/>
    </row>
    <row r="45" spans="2:8" ht="15.75">
      <c r="B45" s="104" t="s">
        <v>34</v>
      </c>
      <c r="C45" s="222">
        <f>(16.86+17.53)*252</f>
        <v>8666.2800000000007</v>
      </c>
      <c r="D45" s="223" t="s">
        <v>276</v>
      </c>
      <c r="E45" s="90" t="s">
        <v>88</v>
      </c>
      <c r="H45" s="16"/>
    </row>
    <row r="46" spans="2:8" ht="36.75" customHeight="1">
      <c r="B46" s="104" t="s">
        <v>35</v>
      </c>
      <c r="C46" s="222">
        <f>(49.72+51.71)*2*0</f>
        <v>0</v>
      </c>
      <c r="D46" s="223" t="s">
        <v>220</v>
      </c>
      <c r="E46" s="90"/>
      <c r="H46" s="16"/>
    </row>
    <row r="47" spans="2:8" ht="25.5">
      <c r="B47" s="104" t="s">
        <v>36</v>
      </c>
      <c r="C47" s="164">
        <f>0.25*(1803.2+7*10)*12</f>
        <v>5619.6</v>
      </c>
      <c r="D47" s="150" t="s">
        <v>198</v>
      </c>
      <c r="E47" s="90" t="s">
        <v>85</v>
      </c>
      <c r="H47" s="16"/>
    </row>
    <row r="48" spans="2:8" ht="15.75">
      <c r="B48" s="106" t="s">
        <v>37</v>
      </c>
      <c r="C48" s="164">
        <f>2.34*(1803.2+7*10)*4</f>
        <v>17533.151999999998</v>
      </c>
      <c r="D48" s="150" t="s">
        <v>175</v>
      </c>
      <c r="E48" s="90" t="s">
        <v>89</v>
      </c>
      <c r="H48" s="16"/>
    </row>
    <row r="49" spans="2:8" ht="25.5">
      <c r="B49" s="87" t="s">
        <v>38</v>
      </c>
      <c r="C49" s="3">
        <f>13973*7</f>
        <v>97811</v>
      </c>
      <c r="D49" s="71" t="s">
        <v>444</v>
      </c>
      <c r="E49" s="90"/>
      <c r="H49" s="16"/>
    </row>
    <row r="50" spans="2:8" ht="25.5">
      <c r="B50" s="87" t="s">
        <v>41</v>
      </c>
      <c r="C50" s="222">
        <f>((5338.98*1)+(3813.56*11))*7</f>
        <v>331016.98</v>
      </c>
      <c r="D50" s="232" t="s">
        <v>277</v>
      </c>
      <c r="E50" s="90" t="s">
        <v>85</v>
      </c>
      <c r="H50" s="16"/>
    </row>
    <row r="51" spans="2:8" ht="50.25" customHeight="1">
      <c r="B51" s="87" t="s">
        <v>45</v>
      </c>
      <c r="C51" s="227">
        <f>781*(211.42*6*1.45/12+226.93*6*1.45/12)</f>
        <v>248204.72874999998</v>
      </c>
      <c r="D51" s="225" t="s">
        <v>278</v>
      </c>
      <c r="E51" s="90" t="s">
        <v>87</v>
      </c>
      <c r="H51" s="16"/>
    </row>
    <row r="52" spans="2:8" ht="25.5">
      <c r="B52" s="87" t="s">
        <v>46</v>
      </c>
      <c r="C52" s="224">
        <f>0*(232.8*6+243.11*6)</f>
        <v>0</v>
      </c>
      <c r="D52" s="228" t="s">
        <v>223</v>
      </c>
      <c r="E52" s="90" t="s">
        <v>87</v>
      </c>
      <c r="H52" s="16"/>
    </row>
    <row r="53" spans="2:8" ht="15.75">
      <c r="B53" s="108" t="s">
        <v>47</v>
      </c>
      <c r="C53" s="109">
        <f>SUM(C41:C52)</f>
        <v>1555854.0013251819</v>
      </c>
      <c r="D53" s="110"/>
      <c r="E53" s="90"/>
    </row>
    <row r="54" spans="2:8">
      <c r="B54" s="104" t="s">
        <v>48</v>
      </c>
      <c r="C54" s="1"/>
      <c r="D54" s="96"/>
      <c r="E54" s="90"/>
    </row>
    <row r="55" spans="2:8" s="18" customFormat="1" ht="51">
      <c r="B55" s="112" t="s">
        <v>49</v>
      </c>
      <c r="C55" s="222">
        <f>(32.68*96.4189*3)+(32.68*100.2864*9)+(1.78*(C14+C15)*12)</f>
        <v>359097.09692400007</v>
      </c>
      <c r="D55" s="229" t="s">
        <v>279</v>
      </c>
      <c r="E55" s="113"/>
    </row>
    <row r="56" spans="2:8">
      <c r="B56" s="106" t="s">
        <v>50</v>
      </c>
      <c r="C56" s="1">
        <f>13.69*2356*0</f>
        <v>0</v>
      </c>
      <c r="D56" s="96" t="s">
        <v>280</v>
      </c>
      <c r="E56" s="90" t="s">
        <v>441</v>
      </c>
    </row>
    <row r="57" spans="2:8" ht="89.25">
      <c r="B57" s="114" t="s">
        <v>120</v>
      </c>
      <c r="C57" s="4">
        <f>17.51*(C14+C15)</f>
        <v>262443.38200000004</v>
      </c>
      <c r="D57" s="96" t="s">
        <v>281</v>
      </c>
      <c r="E57" s="90"/>
    </row>
    <row r="58" spans="2:8" ht="38.25">
      <c r="B58" s="104" t="s">
        <v>51</v>
      </c>
      <c r="C58" s="222">
        <f>(632.04+251.07/3)*69156/1000</f>
        <v>49497.023880000001</v>
      </c>
      <c r="D58" s="229" t="s">
        <v>282</v>
      </c>
      <c r="E58" s="115" t="s">
        <v>91</v>
      </c>
    </row>
    <row r="59" spans="2:8" ht="51">
      <c r="B59" s="116" t="s">
        <v>52</v>
      </c>
      <c r="C59" s="230">
        <f>((1636.61/12*3*96.4189)+(1636.61/12*9*100.2864))+((1636.61/12*3*96.4189)+(1636.61/12*9*100.2864))/1.302*25%</f>
        <v>193758.41225922271</v>
      </c>
      <c r="D59" s="229" t="s">
        <v>283</v>
      </c>
      <c r="E59" s="90"/>
    </row>
    <row r="60" spans="2:8" ht="15.75">
      <c r="B60" s="117" t="s">
        <v>53</v>
      </c>
      <c r="C60" s="109">
        <f>C55+C56+C57+C58+C59</f>
        <v>864795.91506322287</v>
      </c>
      <c r="D60" s="110"/>
      <c r="E60" s="90"/>
    </row>
    <row r="61" spans="2:8">
      <c r="B61" s="116" t="s">
        <v>54</v>
      </c>
      <c r="C61" s="1"/>
      <c r="D61" s="96"/>
      <c r="E61" s="90"/>
    </row>
    <row r="62" spans="2:8" s="17" customFormat="1" ht="12.75">
      <c r="B62" s="118" t="s">
        <v>55</v>
      </c>
      <c r="C62" s="2">
        <v>0</v>
      </c>
      <c r="D62" s="119"/>
      <c r="E62" s="86"/>
    </row>
    <row r="63" spans="2:8">
      <c r="B63" s="116" t="s">
        <v>56</v>
      </c>
      <c r="C63" s="88">
        <v>0</v>
      </c>
      <c r="D63" s="120"/>
      <c r="E63" s="90"/>
    </row>
    <row r="64" spans="2:8">
      <c r="B64" s="116" t="s">
        <v>57</v>
      </c>
      <c r="C64" s="88"/>
      <c r="D64" s="120"/>
      <c r="E64" s="90"/>
    </row>
    <row r="65" spans="2:8">
      <c r="B65" s="116" t="s">
        <v>58</v>
      </c>
      <c r="C65" s="88"/>
      <c r="D65" s="120"/>
      <c r="E65" s="90"/>
    </row>
    <row r="66" spans="2:8">
      <c r="B66" s="116" t="s">
        <v>59</v>
      </c>
      <c r="C66" s="88"/>
      <c r="D66" s="120"/>
      <c r="E66" s="90"/>
    </row>
    <row r="67" spans="2:8" ht="15.75">
      <c r="B67" s="117" t="s">
        <v>60</v>
      </c>
      <c r="C67" s="121">
        <f>C62+C63</f>
        <v>0</v>
      </c>
      <c r="D67" s="122"/>
      <c r="E67" s="90"/>
    </row>
    <row r="68" spans="2:8">
      <c r="B68" s="123" t="s">
        <v>61</v>
      </c>
      <c r="C68" s="88">
        <f>3.05*(C14+C15)</f>
        <v>45714.01</v>
      </c>
      <c r="D68" s="120" t="s">
        <v>284</v>
      </c>
      <c r="E68" s="90"/>
    </row>
    <row r="69" spans="2:8" ht="15.75">
      <c r="B69" s="124" t="s">
        <v>62</v>
      </c>
      <c r="C69" s="125">
        <f>1.49*(C14+C15)</f>
        <v>22332.418000000001</v>
      </c>
      <c r="D69" s="126" t="s">
        <v>445</v>
      </c>
      <c r="E69" s="90"/>
      <c r="H69" s="19"/>
    </row>
    <row r="70" spans="2:8">
      <c r="B70" s="68" t="s">
        <v>63</v>
      </c>
      <c r="C70" s="88">
        <f>(C53+C60)*0.341</f>
        <v>825441.62148844602</v>
      </c>
      <c r="D70" s="120" t="s">
        <v>224</v>
      </c>
      <c r="E70" s="90"/>
    </row>
    <row r="71" spans="2:8" ht="38.25">
      <c r="B71" s="68" t="s">
        <v>121</v>
      </c>
      <c r="C71" s="125">
        <f>(C53+C60+C70)*0.132</f>
        <v>428484.08299974428</v>
      </c>
      <c r="D71" s="69" t="s">
        <v>225</v>
      </c>
      <c r="E71" s="90" t="s">
        <v>85</v>
      </c>
    </row>
    <row r="72" spans="2:8" ht="15.75">
      <c r="B72" s="127" t="s">
        <v>122</v>
      </c>
      <c r="C72" s="121">
        <f>C68+C69+C70+C71</f>
        <v>1321972.1324881902</v>
      </c>
      <c r="D72" s="122"/>
      <c r="E72" s="90"/>
    </row>
    <row r="73" spans="2:8">
      <c r="B73" s="68" t="s">
        <v>64</v>
      </c>
      <c r="C73" s="88">
        <f>(C53+C60+C67+C72)*3%</f>
        <v>112278.66146629784</v>
      </c>
      <c r="D73" s="120"/>
      <c r="E73" s="90"/>
    </row>
    <row r="74" spans="2:8" ht="15.75">
      <c r="B74" s="128" t="s">
        <v>26</v>
      </c>
      <c r="C74" s="129">
        <f>C53+C60+C67+C72+C73</f>
        <v>3854900.7103428924</v>
      </c>
      <c r="D74" s="130"/>
      <c r="E74" s="90"/>
    </row>
    <row r="75" spans="2:8" ht="15.75">
      <c r="B75" s="128" t="s">
        <v>65</v>
      </c>
      <c r="C75" s="129">
        <f>C74*1.18</f>
        <v>4548782.838204613</v>
      </c>
      <c r="D75" s="130"/>
      <c r="E75" s="90"/>
    </row>
    <row r="76" spans="2:8" ht="15.75">
      <c r="B76" s="131"/>
      <c r="C76" s="132">
        <f>C38-C75</f>
        <v>-96446.394204613753</v>
      </c>
      <c r="D76" s="133"/>
      <c r="E76" s="90"/>
    </row>
    <row r="77" spans="2:8" ht="30">
      <c r="B77" s="134" t="s">
        <v>123</v>
      </c>
      <c r="C77" s="135">
        <f>C75/(C14+C15)/12</f>
        <v>25.290911284680686</v>
      </c>
      <c r="D77" s="136" t="s">
        <v>199</v>
      </c>
      <c r="E77" s="137"/>
    </row>
    <row r="78" spans="2:8">
      <c r="B78" s="138"/>
      <c r="E78" s="138"/>
    </row>
    <row r="79" spans="2:8" ht="18.75" customHeight="1">
      <c r="B79" s="802" t="s">
        <v>124</v>
      </c>
      <c r="C79" s="802"/>
      <c r="D79" s="802"/>
      <c r="E79" s="138"/>
    </row>
    <row r="80" spans="2:8" ht="35.25" customHeight="1">
      <c r="B80" s="803" t="s">
        <v>226</v>
      </c>
      <c r="C80" s="803"/>
      <c r="D80" s="803"/>
      <c r="E80" s="803"/>
    </row>
    <row r="81" spans="2:5" ht="42.75" customHeight="1">
      <c r="B81" s="803" t="s">
        <v>227</v>
      </c>
      <c r="C81" s="803"/>
      <c r="D81" s="803"/>
      <c r="E81" s="803"/>
    </row>
    <row r="82" spans="2:5" ht="25.5" customHeight="1">
      <c r="B82" s="157"/>
      <c r="C82" s="158"/>
      <c r="D82" s="159"/>
      <c r="E82" s="138"/>
    </row>
    <row r="83" spans="2:5">
      <c r="B83" s="160"/>
      <c r="C83" s="161"/>
      <c r="D83" s="162"/>
      <c r="E83" s="138"/>
    </row>
    <row r="84" spans="2:5">
      <c r="B84" s="797" t="s">
        <v>188</v>
      </c>
      <c r="C84" s="797"/>
      <c r="D84" s="797"/>
      <c r="E84" s="138"/>
    </row>
    <row r="85" spans="2:5">
      <c r="B85" s="797"/>
      <c r="C85" s="797"/>
      <c r="D85" s="797"/>
    </row>
    <row r="87" spans="2:5" ht="18.75">
      <c r="B87" s="170"/>
      <c r="C87" s="170"/>
      <c r="D87" s="170"/>
    </row>
    <row r="96" spans="2:5" s="20" customFormat="1">
      <c r="B96" s="66"/>
      <c r="C96" s="66"/>
      <c r="D96" s="66"/>
      <c r="E96" s="67"/>
    </row>
    <row r="97" spans="2:5" s="20" customFormat="1">
      <c r="B97" s="66"/>
      <c r="C97" s="66"/>
      <c r="D97" s="66"/>
      <c r="E97" s="67"/>
    </row>
    <row r="98" spans="2:5" s="20" customFormat="1">
      <c r="B98" s="66"/>
      <c r="C98" s="66"/>
      <c r="D98" s="66"/>
      <c r="E98" s="67"/>
    </row>
    <row r="99" spans="2:5" s="20" customFormat="1">
      <c r="B99" s="66"/>
      <c r="C99" s="66"/>
      <c r="D99" s="66"/>
      <c r="E99" s="67"/>
    </row>
    <row r="100" spans="2:5" s="20" customFormat="1">
      <c r="B100" s="66"/>
      <c r="C100" s="66"/>
      <c r="D100" s="66"/>
      <c r="E100" s="67"/>
    </row>
    <row r="101" spans="2:5" s="20" customFormat="1">
      <c r="B101" s="66"/>
      <c r="C101" s="66"/>
      <c r="D101" s="66"/>
      <c r="E101" s="67"/>
    </row>
    <row r="102" spans="2:5" s="20" customFormat="1">
      <c r="B102" s="66"/>
      <c r="C102" s="66"/>
      <c r="D102" s="66"/>
      <c r="E102" s="67"/>
    </row>
    <row r="103" spans="2:5" s="20" customFormat="1">
      <c r="B103" s="66"/>
      <c r="C103" s="66"/>
      <c r="D103" s="66"/>
      <c r="E103" s="67"/>
    </row>
  </sheetData>
  <mergeCells count="7">
    <mergeCell ref="B85:D85"/>
    <mergeCell ref="B79:D79"/>
    <mergeCell ref="B10:E10"/>
    <mergeCell ref="B11:E12"/>
    <mergeCell ref="B84:D84"/>
    <mergeCell ref="B80:E80"/>
    <mergeCell ref="B81:E8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4"/>
  <sheetViews>
    <sheetView topLeftCell="A55" workbookViewId="0">
      <selection activeCell="D66" sqref="D66"/>
    </sheetView>
  </sheetViews>
  <sheetFormatPr defaultColWidth="9.140625" defaultRowHeight="15"/>
  <cols>
    <col min="1" max="1" width="4" style="26" customWidth="1"/>
    <col min="2" max="2" width="44.7109375" style="66" customWidth="1"/>
    <col min="3" max="3" width="14.5703125" style="66" customWidth="1"/>
    <col min="4" max="4" width="33.42578125" style="66" customWidth="1"/>
    <col min="5" max="5" width="18" style="67" customWidth="1"/>
    <col min="6" max="6" width="6" style="26" customWidth="1"/>
    <col min="7" max="8" width="9.140625" style="26"/>
    <col min="9" max="9" width="12.5703125" style="26" customWidth="1"/>
    <col min="10" max="16384" width="9.140625" style="26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15.7</v>
      </c>
      <c r="K5" s="141" t="s">
        <v>157</v>
      </c>
    </row>
    <row r="6" spans="2:11" ht="15" customHeight="1">
      <c r="D6" s="163"/>
      <c r="E6" s="65"/>
      <c r="I6" s="140" t="s">
        <v>134</v>
      </c>
      <c r="J6" s="140">
        <v>884.3</v>
      </c>
      <c r="K6" s="141"/>
    </row>
    <row r="7" spans="2:11" ht="15.75">
      <c r="D7" s="163" t="s">
        <v>217</v>
      </c>
      <c r="E7" s="65"/>
      <c r="I7" s="140" t="s">
        <v>135</v>
      </c>
      <c r="J7" s="140">
        <v>14</v>
      </c>
      <c r="K7" s="141"/>
    </row>
    <row r="8" spans="2:11" ht="12.75" customHeight="1">
      <c r="D8" s="70"/>
      <c r="I8" s="140" t="s">
        <v>136</v>
      </c>
      <c r="J8" s="212">
        <v>71</v>
      </c>
      <c r="K8" s="141"/>
    </row>
    <row r="9" spans="2:11" ht="12.75" customHeight="1">
      <c r="D9" s="70"/>
      <c r="I9" s="142" t="s">
        <v>137</v>
      </c>
      <c r="J9" s="140">
        <v>4904</v>
      </c>
      <c r="K9" s="141"/>
    </row>
    <row r="10" spans="2:11" ht="30" customHeight="1">
      <c r="B10" s="798" t="s">
        <v>218</v>
      </c>
      <c r="C10" s="798"/>
      <c r="D10" s="798"/>
      <c r="E10" s="798"/>
      <c r="I10" s="140" t="s">
        <v>138</v>
      </c>
      <c r="J10" s="140">
        <v>587.79999999999995</v>
      </c>
      <c r="K10" s="141"/>
    </row>
    <row r="11" spans="2:11" ht="15" customHeight="1">
      <c r="B11" s="798" t="s">
        <v>96</v>
      </c>
      <c r="C11" s="798"/>
      <c r="D11" s="798"/>
      <c r="E11" s="798"/>
      <c r="I11" s="140" t="s">
        <v>139</v>
      </c>
      <c r="J11" s="140">
        <v>1000</v>
      </c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0</v>
      </c>
      <c r="K12" s="141"/>
    </row>
    <row r="13" spans="2:11" ht="17.25" customHeight="1">
      <c r="B13" s="73"/>
      <c r="C13" s="73"/>
      <c r="D13" s="73"/>
      <c r="I13" s="140" t="s">
        <v>141</v>
      </c>
      <c r="J13" s="140">
        <v>0</v>
      </c>
      <c r="K13" s="141"/>
    </row>
    <row r="14" spans="2:11" ht="15.75">
      <c r="B14" s="74" t="s">
        <v>2</v>
      </c>
      <c r="C14" s="75">
        <v>864.8</v>
      </c>
      <c r="D14" s="76" t="s">
        <v>72</v>
      </c>
      <c r="I14" s="140" t="s">
        <v>142</v>
      </c>
      <c r="J14" s="140">
        <v>1433.5</v>
      </c>
      <c r="K14" s="141"/>
    </row>
    <row r="15" spans="2:11" s="27" customFormat="1" ht="15.75">
      <c r="B15" s="77" t="s">
        <v>3</v>
      </c>
      <c r="C15" s="78">
        <v>187.6</v>
      </c>
      <c r="D15" s="79"/>
      <c r="E15" s="80"/>
      <c r="I15" s="140" t="s">
        <v>143</v>
      </c>
      <c r="J15" s="59">
        <v>1693.2</v>
      </c>
      <c r="K15" s="141"/>
    </row>
    <row r="16" spans="2:11" s="27" customFormat="1" ht="17.25" customHeight="1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94.768061748317095</v>
      </c>
      <c r="K17" s="141"/>
    </row>
    <row r="18" spans="2:11">
      <c r="B18" s="85" t="s">
        <v>7</v>
      </c>
      <c r="C18" s="149">
        <f>C14*15.7*12</f>
        <v>162928.31999999998</v>
      </c>
      <c r="D18" s="150" t="s">
        <v>285</v>
      </c>
      <c r="E18" s="86" t="s">
        <v>85</v>
      </c>
      <c r="I18" s="140" t="s">
        <v>146</v>
      </c>
      <c r="J18" s="140">
        <v>7.98</v>
      </c>
      <c r="K18" s="141"/>
    </row>
    <row r="19" spans="2:11" ht="38.25">
      <c r="B19" s="87" t="s">
        <v>8</v>
      </c>
      <c r="C19" s="214">
        <f>71*(211.42*6*1.45/12+226.93*6*1.45/12)*1.18</f>
        <v>26625.598174999999</v>
      </c>
      <c r="D19" s="215" t="s">
        <v>286</v>
      </c>
      <c r="E19" s="90"/>
      <c r="I19" s="140" t="s">
        <v>147</v>
      </c>
      <c r="J19" s="143">
        <v>0.68</v>
      </c>
      <c r="K19" s="144">
        <f>(J15/3+J14)/2920</f>
        <v>0.68421232876712335</v>
      </c>
    </row>
    <row r="20" spans="2:11">
      <c r="B20" s="91" t="s">
        <v>9</v>
      </c>
      <c r="C20" s="88">
        <f>C21+C24</f>
        <v>28785.680915999998</v>
      </c>
      <c r="D20" s="89"/>
      <c r="E20" s="90"/>
      <c r="I20" s="145" t="s">
        <v>148</v>
      </c>
      <c r="J20" s="145"/>
      <c r="K20" s="141"/>
    </row>
    <row r="21" spans="2:11">
      <c r="B21" s="68" t="s">
        <v>73</v>
      </c>
      <c r="C21" s="92">
        <f>C22+C23</f>
        <v>28785.680915999998</v>
      </c>
      <c r="D21" s="93"/>
      <c r="E21" s="90"/>
      <c r="I21" s="146" t="s">
        <v>149</v>
      </c>
      <c r="J21" s="147"/>
      <c r="K21" s="141"/>
    </row>
    <row r="22" spans="2:11">
      <c r="B22" s="94" t="s">
        <v>10</v>
      </c>
      <c r="C22" s="167">
        <f>126.5*15.7*12</f>
        <v>23832.6</v>
      </c>
      <c r="D22" s="208" t="s">
        <v>287</v>
      </c>
      <c r="E22" s="90" t="s">
        <v>85</v>
      </c>
      <c r="I22" s="58" t="s">
        <v>150</v>
      </c>
      <c r="J22" s="58">
        <v>1.45</v>
      </c>
      <c r="K22" s="141"/>
    </row>
    <row r="23" spans="2:11" ht="25.5">
      <c r="B23" s="94" t="s">
        <v>11</v>
      </c>
      <c r="C23" s="216">
        <f>1.47*(232.8*1.18*6+243.11*1.18*6)</f>
        <v>4953.0809159999999</v>
      </c>
      <c r="D23" s="217" t="s">
        <v>288</v>
      </c>
      <c r="E23" s="90" t="s">
        <v>85</v>
      </c>
      <c r="I23" s="58" t="s">
        <v>151</v>
      </c>
      <c r="J23" s="58"/>
      <c r="K23" s="141"/>
    </row>
    <row r="24" spans="2:11">
      <c r="B24" s="68" t="s">
        <v>74</v>
      </c>
      <c r="C24" s="92">
        <f>C25+C26</f>
        <v>0</v>
      </c>
      <c r="D24" s="93"/>
      <c r="E24" s="90"/>
      <c r="I24" s="141" t="s">
        <v>152</v>
      </c>
      <c r="J24" s="141"/>
      <c r="K24" s="141"/>
    </row>
    <row r="25" spans="2:11">
      <c r="B25" s="94" t="s">
        <v>10</v>
      </c>
      <c r="C25" s="167">
        <f>61.1*15.7*12*0</f>
        <v>0</v>
      </c>
      <c r="D25" s="208" t="s">
        <v>289</v>
      </c>
      <c r="E25" s="90" t="s">
        <v>85</v>
      </c>
      <c r="I25" s="58" t="s">
        <v>153</v>
      </c>
      <c r="J25" s="58">
        <v>864.8</v>
      </c>
      <c r="K25" s="58"/>
    </row>
    <row r="26" spans="2:11" ht="25.5">
      <c r="B26" s="94" t="s">
        <v>11</v>
      </c>
      <c r="C26" s="216">
        <f>0*(232.8*1.18*6+243.11*1.18*6)</f>
        <v>0</v>
      </c>
      <c r="D26" s="217" t="s">
        <v>219</v>
      </c>
      <c r="E26" s="90" t="s">
        <v>85</v>
      </c>
    </row>
    <row r="27" spans="2:11" ht="15.75">
      <c r="B27" s="95" t="s">
        <v>12</v>
      </c>
      <c r="C27" s="1">
        <f>C18+C20</f>
        <v>191714.00091599999</v>
      </c>
      <c r="D27" s="96"/>
      <c r="E27" s="90"/>
    </row>
    <row r="28" spans="2:11">
      <c r="B28" s="97" t="s">
        <v>13</v>
      </c>
      <c r="C28" s="1">
        <f>C29+C30+C31+C32+C33+C34+C35</f>
        <v>1485</v>
      </c>
      <c r="D28" s="96"/>
      <c r="E28" s="90"/>
    </row>
    <row r="29" spans="2:11">
      <c r="B29" s="68" t="s">
        <v>14</v>
      </c>
      <c r="C29" s="1">
        <f>34.98*12*0</f>
        <v>0</v>
      </c>
      <c r="D29" s="96" t="s">
        <v>15</v>
      </c>
      <c r="E29" s="90"/>
    </row>
    <row r="30" spans="2:11">
      <c r="B30" s="68" t="s">
        <v>16</v>
      </c>
      <c r="C30" s="1">
        <f>137.5*12*0</f>
        <v>0</v>
      </c>
      <c r="D30" s="96" t="s">
        <v>17</v>
      </c>
      <c r="E30" s="90"/>
    </row>
    <row r="31" spans="2:11">
      <c r="B31" s="68" t="s">
        <v>18</v>
      </c>
      <c r="C31" s="1">
        <f>123.75*12*0</f>
        <v>0</v>
      </c>
      <c r="D31" s="96" t="s">
        <v>19</v>
      </c>
      <c r="E31" s="90"/>
    </row>
    <row r="32" spans="2:11">
      <c r="B32" s="68" t="s">
        <v>20</v>
      </c>
      <c r="C32" s="1">
        <f>123.75*12</f>
        <v>1485</v>
      </c>
      <c r="D32" s="96" t="s">
        <v>19</v>
      </c>
      <c r="E32" s="90" t="s">
        <v>85</v>
      </c>
    </row>
    <row r="33" spans="2:8">
      <c r="B33" s="68" t="s">
        <v>66</v>
      </c>
      <c r="C33" s="1">
        <f>150*12*0</f>
        <v>0</v>
      </c>
      <c r="D33" s="96" t="s">
        <v>21</v>
      </c>
      <c r="E33" s="90"/>
    </row>
    <row r="34" spans="2:8">
      <c r="B34" s="68" t="s">
        <v>22</v>
      </c>
      <c r="C34" s="1">
        <f>137.5*12*0</f>
        <v>0</v>
      </c>
      <c r="D34" s="96" t="s">
        <v>17</v>
      </c>
      <c r="E34" s="90"/>
    </row>
    <row r="35" spans="2:8">
      <c r="B35" s="68" t="s">
        <v>23</v>
      </c>
      <c r="C35" s="1">
        <f>150*12*0</f>
        <v>0</v>
      </c>
      <c r="D35" s="96" t="s">
        <v>21</v>
      </c>
      <c r="E35" s="90"/>
    </row>
    <row r="36" spans="2:8">
      <c r="B36" s="97" t="s">
        <v>24</v>
      </c>
      <c r="C36" s="1">
        <f>C37</f>
        <v>0</v>
      </c>
      <c r="D36" s="96"/>
      <c r="E36" s="90"/>
    </row>
    <row r="37" spans="2:8">
      <c r="B37" s="68"/>
      <c r="C37" s="1"/>
      <c r="D37" s="96"/>
      <c r="E37" s="90"/>
    </row>
    <row r="38" spans="2:8" ht="18.75">
      <c r="B38" s="98" t="s">
        <v>26</v>
      </c>
      <c r="C38" s="99">
        <f>C27+C28+C36</f>
        <v>193199.00091599999</v>
      </c>
      <c r="D38" s="96"/>
      <c r="E38" s="90"/>
    </row>
    <row r="39" spans="2:8" ht="15.75">
      <c r="B39" s="82" t="s">
        <v>27</v>
      </c>
      <c r="C39" s="100" t="s">
        <v>5</v>
      </c>
      <c r="D39" s="101" t="s">
        <v>28</v>
      </c>
      <c r="E39" s="90"/>
    </row>
    <row r="40" spans="2:8" ht="15.75">
      <c r="B40" s="102" t="s">
        <v>29</v>
      </c>
      <c r="C40" s="88"/>
      <c r="D40" s="103"/>
      <c r="E40" s="90"/>
      <c r="H40" s="28"/>
    </row>
    <row r="41" spans="2:8" ht="51">
      <c r="B41" s="104" t="s">
        <v>30</v>
      </c>
      <c r="C41" s="218">
        <f>(0.68*(3565+200)*1.5*1.15*1.083*1.302*3)+(0.68*(3708+200)*1.5*1.15*1.083*1.302*9)+(0.1*1433.5*12)</f>
        <v>78576.962692205998</v>
      </c>
      <c r="D41" s="219" t="s">
        <v>290</v>
      </c>
      <c r="E41" s="90" t="s">
        <v>86</v>
      </c>
      <c r="H41" s="29"/>
    </row>
    <row r="42" spans="2:8" ht="15.75">
      <c r="B42" s="104" t="s">
        <v>31</v>
      </c>
      <c r="C42" s="175"/>
      <c r="D42" s="176"/>
      <c r="E42" s="90"/>
      <c r="H42" s="29"/>
    </row>
    <row r="43" spans="2:8" ht="15.75">
      <c r="B43" s="104" t="s">
        <v>32</v>
      </c>
      <c r="C43" s="175"/>
      <c r="D43" s="176"/>
      <c r="E43" s="90"/>
      <c r="H43" s="29"/>
    </row>
    <row r="44" spans="2:8" s="30" customFormat="1" ht="51">
      <c r="B44" s="104" t="s">
        <v>33</v>
      </c>
      <c r="C44" s="220">
        <f>71*(360.84*0.025*3+362.52*0.025*3+382.25*0.025*6)</f>
        <v>7922.8545000000004</v>
      </c>
      <c r="D44" s="221" t="s">
        <v>291</v>
      </c>
      <c r="E44" s="86" t="s">
        <v>87</v>
      </c>
      <c r="H44" s="29"/>
    </row>
    <row r="45" spans="2:8" ht="15.75">
      <c r="B45" s="104" t="s">
        <v>34</v>
      </c>
      <c r="C45" s="222">
        <f>(16.86+17.53)*14</f>
        <v>481.46000000000004</v>
      </c>
      <c r="D45" s="223" t="s">
        <v>292</v>
      </c>
      <c r="E45" s="90" t="s">
        <v>88</v>
      </c>
      <c r="H45" s="29"/>
    </row>
    <row r="46" spans="2:8" ht="36.75" customHeight="1">
      <c r="B46" s="104" t="s">
        <v>35</v>
      </c>
      <c r="C46" s="222">
        <f>(49.72+51.71)*2*0</f>
        <v>0</v>
      </c>
      <c r="D46" s="223" t="s">
        <v>220</v>
      </c>
      <c r="E46" s="90"/>
      <c r="H46" s="29"/>
    </row>
    <row r="47" spans="2:8" ht="15.75">
      <c r="B47" s="104" t="s">
        <v>36</v>
      </c>
      <c r="C47" s="164">
        <f>0.25*864.8*12</f>
        <v>2594.3999999999996</v>
      </c>
      <c r="D47" s="150" t="s">
        <v>200</v>
      </c>
      <c r="E47" s="90" t="s">
        <v>85</v>
      </c>
      <c r="H47" s="29"/>
    </row>
    <row r="48" spans="2:8" ht="15.75">
      <c r="B48" s="106" t="s">
        <v>37</v>
      </c>
      <c r="C48" s="164">
        <f>2.34*864.8*4</f>
        <v>8094.5279999999993</v>
      </c>
      <c r="D48" s="150" t="s">
        <v>201</v>
      </c>
      <c r="E48" s="90" t="s">
        <v>89</v>
      </c>
      <c r="H48" s="29"/>
    </row>
    <row r="49" spans="2:8" ht="25.5">
      <c r="B49" s="115" t="s">
        <v>67</v>
      </c>
      <c r="C49" s="224">
        <f>(700.55*6+728.57*6)*0</f>
        <v>0</v>
      </c>
      <c r="D49" s="225" t="s">
        <v>221</v>
      </c>
      <c r="E49" s="90" t="s">
        <v>85</v>
      </c>
      <c r="H49" s="29"/>
    </row>
    <row r="50" spans="2:8" ht="25.5">
      <c r="B50" s="115" t="s">
        <v>190</v>
      </c>
      <c r="C50" s="226">
        <f>(695.13*6+722.94*6)*0</f>
        <v>0</v>
      </c>
      <c r="D50" s="225" t="s">
        <v>222</v>
      </c>
      <c r="E50" s="90" t="s">
        <v>85</v>
      </c>
      <c r="H50" s="29"/>
    </row>
    <row r="51" spans="2:8" ht="15.75">
      <c r="B51" s="115" t="s">
        <v>158</v>
      </c>
      <c r="C51" s="4">
        <f>987.49*12</f>
        <v>11849.880000000001</v>
      </c>
      <c r="D51" s="209" t="s">
        <v>446</v>
      </c>
      <c r="E51" s="90" t="s">
        <v>85</v>
      </c>
      <c r="H51" s="29"/>
    </row>
    <row r="52" spans="2:8" ht="50.25" customHeight="1">
      <c r="B52" s="87" t="s">
        <v>45</v>
      </c>
      <c r="C52" s="227">
        <f>71*(211.42*6*1.45/12+226.93*6*1.45/12)</f>
        <v>22564.06625</v>
      </c>
      <c r="D52" s="225" t="s">
        <v>293</v>
      </c>
      <c r="E52" s="90" t="s">
        <v>87</v>
      </c>
      <c r="H52" s="29"/>
    </row>
    <row r="53" spans="2:8" ht="25.5">
      <c r="B53" s="87" t="s">
        <v>46</v>
      </c>
      <c r="C53" s="224">
        <f>1.47*(232.8*6+243.11*6)</f>
        <v>4197.5262000000002</v>
      </c>
      <c r="D53" s="228" t="s">
        <v>294</v>
      </c>
      <c r="E53" s="90" t="s">
        <v>87</v>
      </c>
      <c r="H53" s="29"/>
    </row>
    <row r="54" spans="2:8" ht="15.75">
      <c r="B54" s="108" t="s">
        <v>47</v>
      </c>
      <c r="C54" s="109">
        <f>C41+C42+C43+C44+C45+C46+C47+C48+C49+C50+C51+C52+C53</f>
        <v>136281.67764220599</v>
      </c>
      <c r="D54" s="110"/>
      <c r="E54" s="90"/>
    </row>
    <row r="55" spans="2:8">
      <c r="B55" s="104" t="s">
        <v>48</v>
      </c>
      <c r="C55" s="1"/>
      <c r="D55" s="96"/>
      <c r="E55" s="90"/>
    </row>
    <row r="56" spans="2:8" s="31" customFormat="1" ht="51">
      <c r="B56" s="112" t="s">
        <v>49</v>
      </c>
      <c r="C56" s="222">
        <f>(7.98*96.4189*3)+(7.98*100.2864*9)+(1.78*(C14+C15)*12)</f>
        <v>31990.101713999997</v>
      </c>
      <c r="D56" s="229" t="s">
        <v>295</v>
      </c>
      <c r="E56" s="113"/>
    </row>
    <row r="57" spans="2:8">
      <c r="B57" s="106" t="s">
        <v>50</v>
      </c>
      <c r="C57" s="1">
        <f>13.69*1000</f>
        <v>13690</v>
      </c>
      <c r="D57" s="96" t="s">
        <v>296</v>
      </c>
      <c r="E57" s="90" t="s">
        <v>90</v>
      </c>
    </row>
    <row r="58" spans="2:8" ht="89.25">
      <c r="B58" s="114" t="s">
        <v>120</v>
      </c>
      <c r="C58" s="4">
        <f>17.51*(C14+C15)*0</f>
        <v>0</v>
      </c>
      <c r="D58" s="96" t="s">
        <v>297</v>
      </c>
      <c r="E58" s="90"/>
    </row>
    <row r="59" spans="2:8" ht="51">
      <c r="B59" s="104" t="s">
        <v>51</v>
      </c>
      <c r="C59" s="222">
        <f>(632.04+251.07/3)*4904/1000</f>
        <v>3509.9399199999998</v>
      </c>
      <c r="D59" s="229" t="s">
        <v>298</v>
      </c>
      <c r="E59" s="115" t="s">
        <v>91</v>
      </c>
    </row>
    <row r="60" spans="2:8" ht="51">
      <c r="B60" s="116" t="s">
        <v>52</v>
      </c>
      <c r="C60" s="230">
        <f>((94.77/12*3*96.4189)+(94.77/12*9*100.2864))+((94.77/12*3*96.4189)+(94.77/12*9*100.2864))/1.302*25%</f>
        <v>11219.829238368664</v>
      </c>
      <c r="D60" s="229" t="s">
        <v>299</v>
      </c>
      <c r="E60" s="90"/>
    </row>
    <row r="61" spans="2:8" ht="15.75">
      <c r="B61" s="117" t="s">
        <v>53</v>
      </c>
      <c r="C61" s="109">
        <f>C56+C57+C58+C59+C60</f>
        <v>60409.870872368658</v>
      </c>
      <c r="D61" s="110"/>
      <c r="E61" s="90"/>
    </row>
    <row r="62" spans="2:8">
      <c r="B62" s="116" t="s">
        <v>54</v>
      </c>
      <c r="C62" s="1"/>
      <c r="D62" s="96"/>
      <c r="E62" s="90"/>
    </row>
    <row r="63" spans="2:8" s="30" customFormat="1" ht="12.75">
      <c r="B63" s="118" t="s">
        <v>55</v>
      </c>
      <c r="C63" s="2">
        <v>0</v>
      </c>
      <c r="D63" s="119"/>
      <c r="E63" s="86"/>
    </row>
    <row r="64" spans="2:8">
      <c r="B64" s="116" t="s">
        <v>56</v>
      </c>
      <c r="C64" s="88">
        <v>0</v>
      </c>
      <c r="D64" s="120"/>
      <c r="E64" s="90"/>
    </row>
    <row r="65" spans="2:8">
      <c r="B65" s="116" t="s">
        <v>57</v>
      </c>
      <c r="C65" s="88"/>
      <c r="D65" s="120"/>
      <c r="E65" s="90"/>
    </row>
    <row r="66" spans="2:8">
      <c r="B66" s="116" t="s">
        <v>58</v>
      </c>
      <c r="C66" s="88"/>
      <c r="D66" s="120"/>
      <c r="E66" s="90"/>
    </row>
    <row r="67" spans="2:8">
      <c r="B67" s="116" t="s">
        <v>59</v>
      </c>
      <c r="C67" s="88"/>
      <c r="D67" s="120"/>
      <c r="E67" s="90"/>
    </row>
    <row r="68" spans="2:8" ht="15.75">
      <c r="B68" s="117" t="s">
        <v>60</v>
      </c>
      <c r="C68" s="121">
        <f>C63+C64</f>
        <v>0</v>
      </c>
      <c r="D68" s="122"/>
      <c r="E68" s="90"/>
    </row>
    <row r="69" spans="2:8">
      <c r="B69" s="123" t="s">
        <v>61</v>
      </c>
      <c r="C69" s="88">
        <f>3.05*(C14+C15)</f>
        <v>3209.8199999999993</v>
      </c>
      <c r="D69" s="120" t="s">
        <v>300</v>
      </c>
      <c r="E69" s="90"/>
    </row>
    <row r="70" spans="2:8" ht="15.75">
      <c r="B70" s="124" t="s">
        <v>62</v>
      </c>
      <c r="C70" s="125">
        <f>1.49*(C14+C15)</f>
        <v>1568.0759999999998</v>
      </c>
      <c r="D70" s="126" t="s">
        <v>447</v>
      </c>
      <c r="E70" s="90"/>
      <c r="H70" s="32"/>
    </row>
    <row r="71" spans="2:8">
      <c r="B71" s="68" t="s">
        <v>63</v>
      </c>
      <c r="C71" s="88">
        <f>(C54+C61)*0.341</f>
        <v>67071.818043469961</v>
      </c>
      <c r="D71" s="120" t="s">
        <v>224</v>
      </c>
      <c r="E71" s="90"/>
    </row>
    <row r="72" spans="2:8" ht="38.25">
      <c r="B72" s="68" t="s">
        <v>121</v>
      </c>
      <c r="C72" s="125">
        <f>(C54+C61+C71)*0.132</f>
        <v>34816.764385661889</v>
      </c>
      <c r="D72" s="69" t="s">
        <v>225</v>
      </c>
      <c r="E72" s="90" t="s">
        <v>85</v>
      </c>
    </row>
    <row r="73" spans="2:8" ht="15.75">
      <c r="B73" s="127" t="s">
        <v>122</v>
      </c>
      <c r="C73" s="121">
        <f>C69+C70+C7+C72</f>
        <v>39594.660385661889</v>
      </c>
      <c r="D73" s="122"/>
      <c r="E73" s="90"/>
    </row>
    <row r="74" spans="2:8">
      <c r="B74" s="68" t="s">
        <v>64</v>
      </c>
      <c r="C74" s="88">
        <f>(C54+C61+C68+C73)*3%</f>
        <v>7088.5862670070956</v>
      </c>
      <c r="D74" s="120"/>
      <c r="E74" s="90"/>
    </row>
    <row r="75" spans="2:8" ht="15.75">
      <c r="B75" s="128" t="s">
        <v>26</v>
      </c>
      <c r="C75" s="129">
        <f>C54+C61+C68+C73+C74</f>
        <v>243374.79516724363</v>
      </c>
      <c r="D75" s="130"/>
      <c r="E75" s="90"/>
    </row>
    <row r="76" spans="2:8" ht="15.75">
      <c r="B76" s="128" t="s">
        <v>65</v>
      </c>
      <c r="C76" s="129">
        <f>C75*1.18</f>
        <v>287182.25829734746</v>
      </c>
      <c r="D76" s="130"/>
      <c r="E76" s="90"/>
    </row>
    <row r="77" spans="2:8" ht="15.75">
      <c r="B77" s="131"/>
      <c r="C77" s="132">
        <f>C38-C76</f>
        <v>-93983.257381347474</v>
      </c>
      <c r="D77" s="133"/>
      <c r="E77" s="90"/>
    </row>
    <row r="78" spans="2:8" ht="30">
      <c r="B78" s="134" t="s">
        <v>123</v>
      </c>
      <c r="C78" s="135">
        <f>C76/(C14+C15)/12</f>
        <v>22.740264973500846</v>
      </c>
      <c r="D78" s="136" t="s">
        <v>202</v>
      </c>
      <c r="E78" s="137"/>
    </row>
    <row r="79" spans="2:8">
      <c r="B79" s="138"/>
      <c r="E79" s="138"/>
    </row>
    <row r="80" spans="2:8" ht="15" customHeight="1">
      <c r="B80" s="802" t="s">
        <v>124</v>
      </c>
      <c r="C80" s="802"/>
      <c r="D80" s="802"/>
      <c r="E80" s="138"/>
    </row>
    <row r="81" spans="2:5" ht="34.5" customHeight="1">
      <c r="B81" s="803" t="s">
        <v>226</v>
      </c>
      <c r="C81" s="803"/>
      <c r="D81" s="803"/>
      <c r="E81" s="803"/>
    </row>
    <row r="82" spans="2:5" ht="30" customHeight="1">
      <c r="B82" s="803" t="s">
        <v>227</v>
      </c>
      <c r="C82" s="803"/>
      <c r="D82" s="803"/>
      <c r="E82" s="803"/>
    </row>
    <row r="83" spans="2:5" ht="26.25" customHeight="1">
      <c r="B83" s="157"/>
      <c r="C83" s="158"/>
      <c r="D83" s="159"/>
      <c r="E83" s="138"/>
    </row>
    <row r="84" spans="2:5">
      <c r="B84" s="160"/>
      <c r="C84" s="161"/>
      <c r="D84" s="162"/>
      <c r="E84" s="138"/>
    </row>
    <row r="85" spans="2:5">
      <c r="B85" s="797" t="s">
        <v>188</v>
      </c>
      <c r="C85" s="797"/>
      <c r="D85" s="797"/>
      <c r="E85" s="138"/>
    </row>
    <row r="86" spans="2:5">
      <c r="B86" s="797"/>
      <c r="C86" s="797"/>
      <c r="D86" s="797"/>
    </row>
    <row r="88" spans="2:5" ht="18.75">
      <c r="B88" s="170"/>
      <c r="C88" s="170"/>
      <c r="D88" s="170"/>
    </row>
    <row r="97" spans="2:5" s="33" customFormat="1">
      <c r="B97" s="66"/>
      <c r="C97" s="66"/>
      <c r="D97" s="66"/>
      <c r="E97" s="67"/>
    </row>
    <row r="98" spans="2:5" s="33" customFormat="1">
      <c r="B98" s="66"/>
      <c r="C98" s="66"/>
      <c r="D98" s="66"/>
      <c r="E98" s="67"/>
    </row>
    <row r="99" spans="2:5" s="33" customFormat="1">
      <c r="B99" s="66"/>
      <c r="C99" s="66"/>
      <c r="D99" s="66"/>
      <c r="E99" s="67"/>
    </row>
    <row r="100" spans="2:5" s="33" customFormat="1">
      <c r="B100" s="66"/>
      <c r="C100" s="66"/>
      <c r="D100" s="66"/>
      <c r="E100" s="67"/>
    </row>
    <row r="101" spans="2:5" s="33" customFormat="1">
      <c r="B101" s="66"/>
      <c r="C101" s="66"/>
      <c r="D101" s="66"/>
      <c r="E101" s="67"/>
    </row>
    <row r="102" spans="2:5" s="33" customFormat="1">
      <c r="B102" s="66"/>
      <c r="C102" s="66"/>
      <c r="D102" s="66"/>
      <c r="E102" s="67"/>
    </row>
    <row r="103" spans="2:5" s="33" customFormat="1">
      <c r="B103" s="66"/>
      <c r="C103" s="66"/>
      <c r="D103" s="66"/>
      <c r="E103" s="67"/>
    </row>
    <row r="104" spans="2:5" s="33" customFormat="1">
      <c r="B104" s="66"/>
      <c r="C104" s="66"/>
      <c r="D104" s="66"/>
      <c r="E104" s="67"/>
    </row>
  </sheetData>
  <mergeCells count="7">
    <mergeCell ref="B86:D86"/>
    <mergeCell ref="B80:D80"/>
    <mergeCell ref="B10:E10"/>
    <mergeCell ref="B11:E12"/>
    <mergeCell ref="B85:D85"/>
    <mergeCell ref="B81:E81"/>
    <mergeCell ref="B82:E8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2"/>
  <sheetViews>
    <sheetView topLeftCell="A53" workbookViewId="0">
      <selection activeCell="E56" sqref="E56"/>
    </sheetView>
  </sheetViews>
  <sheetFormatPr defaultColWidth="9.140625" defaultRowHeight="15"/>
  <cols>
    <col min="1" max="1" width="4" style="34" customWidth="1"/>
    <col min="2" max="2" width="44.7109375" style="66" customWidth="1"/>
    <col min="3" max="3" width="14.5703125" style="66" customWidth="1"/>
    <col min="4" max="4" width="33.42578125" style="66" customWidth="1"/>
    <col min="5" max="5" width="18.42578125" style="67" customWidth="1"/>
    <col min="6" max="6" width="4.42578125" style="34" customWidth="1"/>
    <col min="7" max="8" width="9.140625" style="34"/>
    <col min="9" max="9" width="14.7109375" style="34" customWidth="1"/>
    <col min="10" max="16384" width="9.140625" style="34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  <c r="J4" s="58" t="s">
        <v>203</v>
      </c>
    </row>
    <row r="5" spans="2:11" ht="15.75">
      <c r="D5" s="163" t="s">
        <v>1</v>
      </c>
      <c r="E5" s="65"/>
      <c r="I5" s="139" t="s">
        <v>132</v>
      </c>
      <c r="J5" s="212">
        <v>24.77</v>
      </c>
      <c r="K5" s="141" t="s">
        <v>157</v>
      </c>
    </row>
    <row r="6" spans="2:11" ht="15.75">
      <c r="D6" s="163"/>
      <c r="E6" s="65"/>
      <c r="I6" s="140" t="s">
        <v>134</v>
      </c>
      <c r="J6" s="140">
        <v>7983.9</v>
      </c>
      <c r="K6" s="141"/>
    </row>
    <row r="7" spans="2:11" ht="15.75">
      <c r="D7" s="163" t="s">
        <v>217</v>
      </c>
      <c r="E7" s="65"/>
      <c r="I7" s="140" t="s">
        <v>135</v>
      </c>
      <c r="J7" s="140">
        <v>144</v>
      </c>
      <c r="K7" s="141"/>
    </row>
    <row r="8" spans="2:11" ht="15.75">
      <c r="D8" s="70"/>
      <c r="I8" s="140" t="s">
        <v>136</v>
      </c>
      <c r="J8" s="212">
        <v>459</v>
      </c>
      <c r="K8" s="141"/>
    </row>
    <row r="9" spans="2:11" ht="15.75">
      <c r="D9" s="70"/>
      <c r="I9" s="142" t="s">
        <v>137</v>
      </c>
      <c r="J9" s="140">
        <v>42663</v>
      </c>
      <c r="K9" s="141"/>
    </row>
    <row r="10" spans="2:11" ht="29.2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97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4</v>
      </c>
      <c r="K12" s="141"/>
    </row>
    <row r="13" spans="2:11" ht="15.75">
      <c r="B13" s="73"/>
      <c r="C13" s="73"/>
      <c r="D13" s="73"/>
      <c r="I13" s="140" t="s">
        <v>141</v>
      </c>
      <c r="J13" s="140">
        <v>4</v>
      </c>
      <c r="K13" s="141"/>
    </row>
    <row r="14" spans="2:11" ht="15.75">
      <c r="B14" s="74" t="s">
        <v>2</v>
      </c>
      <c r="C14" s="75">
        <v>7983.9</v>
      </c>
      <c r="D14" s="76" t="s">
        <v>72</v>
      </c>
      <c r="I14" s="140" t="s">
        <v>142</v>
      </c>
      <c r="J14" s="140">
        <v>2773.6</v>
      </c>
      <c r="K14" s="141"/>
    </row>
    <row r="15" spans="2:11" s="35" customFormat="1" ht="15.75">
      <c r="B15" s="77" t="s">
        <v>3</v>
      </c>
      <c r="C15" s="78">
        <v>983.1</v>
      </c>
      <c r="D15" s="79"/>
      <c r="E15" s="80"/>
      <c r="I15" s="140" t="s">
        <v>143</v>
      </c>
      <c r="J15" s="59">
        <v>2339.6</v>
      </c>
      <c r="K15" s="141"/>
    </row>
    <row r="16" spans="2:11" s="35" customFormat="1" ht="15.75">
      <c r="B16" s="77"/>
      <c r="C16" s="78"/>
      <c r="D16" s="79"/>
      <c r="E16" s="80"/>
      <c r="I16" s="140" t="s">
        <v>144</v>
      </c>
      <c r="J16" s="140"/>
      <c r="K16" s="141"/>
    </row>
    <row r="17" spans="2:11" ht="31.5">
      <c r="B17" s="179" t="s">
        <v>4</v>
      </c>
      <c r="C17" s="180" t="s">
        <v>5</v>
      </c>
      <c r="D17" s="180" t="s">
        <v>6</v>
      </c>
      <c r="E17" s="84" t="s">
        <v>84</v>
      </c>
      <c r="I17" s="140" t="s">
        <v>145</v>
      </c>
      <c r="J17" s="213">
        <v>954.12688003100004</v>
      </c>
      <c r="K17" s="141"/>
    </row>
    <row r="18" spans="2:11">
      <c r="B18" s="181" t="s">
        <v>7</v>
      </c>
      <c r="C18" s="149">
        <f>C14*24.77*12</f>
        <v>2373134.4359999998</v>
      </c>
      <c r="D18" s="150" t="s">
        <v>301</v>
      </c>
      <c r="E18" s="86" t="s">
        <v>85</v>
      </c>
      <c r="I18" s="140" t="s">
        <v>146</v>
      </c>
      <c r="J18" s="140">
        <v>22.69</v>
      </c>
      <c r="K18" s="141"/>
    </row>
    <row r="19" spans="2:11" ht="38.25">
      <c r="B19" s="182" t="s">
        <v>8</v>
      </c>
      <c r="C19" s="214">
        <f>459*(211.42*6*1.45/12+226.93*6*1.45/12)*1.18</f>
        <v>172128.86707499999</v>
      </c>
      <c r="D19" s="215" t="s">
        <v>302</v>
      </c>
      <c r="E19" s="90"/>
      <c r="I19" s="140" t="s">
        <v>147</v>
      </c>
      <c r="J19" s="143">
        <v>1.06</v>
      </c>
      <c r="K19" s="144">
        <f>(J15/3+J14)/3358</f>
        <v>1.0582092515386143</v>
      </c>
    </row>
    <row r="20" spans="2:11">
      <c r="B20" s="91" t="s">
        <v>9</v>
      </c>
      <c r="C20" s="172">
        <f>C21</f>
        <v>271335.59999999998</v>
      </c>
      <c r="D20" s="93"/>
      <c r="E20" s="173"/>
      <c r="I20" s="145" t="s">
        <v>148</v>
      </c>
      <c r="J20" s="145"/>
      <c r="K20" s="144">
        <f>J7/144</f>
        <v>1</v>
      </c>
    </row>
    <row r="21" spans="2:11" ht="25.5">
      <c r="B21" s="68" t="s">
        <v>303</v>
      </c>
      <c r="C21" s="92">
        <f>C22+C23</f>
        <v>271335.59999999998</v>
      </c>
      <c r="D21" s="93"/>
      <c r="E21" s="90"/>
      <c r="I21" s="146" t="s">
        <v>149</v>
      </c>
      <c r="J21" s="147"/>
      <c r="K21" s="144"/>
    </row>
    <row r="22" spans="2:11">
      <c r="B22" s="94" t="s">
        <v>10</v>
      </c>
      <c r="C22" s="167">
        <f>983.1*23*12</f>
        <v>271335.59999999998</v>
      </c>
      <c r="D22" s="208" t="s">
        <v>304</v>
      </c>
      <c r="E22" s="90" t="s">
        <v>85</v>
      </c>
      <c r="I22" s="58" t="s">
        <v>150</v>
      </c>
      <c r="J22" s="58">
        <v>1.45</v>
      </c>
      <c r="K22" s="144"/>
    </row>
    <row r="23" spans="2:11" ht="25.5">
      <c r="B23" s="94" t="s">
        <v>11</v>
      </c>
      <c r="C23" s="216">
        <f>0*(232.8*1.18*6+243.11*1.18*6)</f>
        <v>0</v>
      </c>
      <c r="D23" s="217" t="s">
        <v>219</v>
      </c>
      <c r="E23" s="90" t="s">
        <v>85</v>
      </c>
      <c r="I23" s="58" t="s">
        <v>151</v>
      </c>
      <c r="J23" s="58"/>
      <c r="K23" s="144"/>
    </row>
    <row r="24" spans="2:11" ht="15.75">
      <c r="B24" s="95" t="s">
        <v>12</v>
      </c>
      <c r="C24" s="1">
        <f>C18+C20</f>
        <v>2644470.0359999998</v>
      </c>
      <c r="D24" s="96"/>
      <c r="E24" s="90"/>
      <c r="I24" s="141" t="s">
        <v>152</v>
      </c>
      <c r="J24" s="141">
        <f>525.7+470.3</f>
        <v>996</v>
      </c>
      <c r="K24" s="144">
        <f>J24/820</f>
        <v>1.2146341463414634</v>
      </c>
    </row>
    <row r="25" spans="2:11">
      <c r="B25" s="97" t="s">
        <v>13</v>
      </c>
      <c r="C25" s="1">
        <f>C26+C27+C28+C29+C30+C31+C32</f>
        <v>5189.76</v>
      </c>
      <c r="D25" s="96"/>
      <c r="E25" s="90"/>
      <c r="I25" s="58" t="s">
        <v>153</v>
      </c>
      <c r="J25" s="58" t="s">
        <v>168</v>
      </c>
      <c r="K25" s="148"/>
    </row>
    <row r="26" spans="2:11">
      <c r="B26" s="68" t="s">
        <v>14</v>
      </c>
      <c r="C26" s="1">
        <f>34.98*12</f>
        <v>419.76</v>
      </c>
      <c r="D26" s="96" t="s">
        <v>15</v>
      </c>
      <c r="E26" s="90" t="s">
        <v>85</v>
      </c>
    </row>
    <row r="27" spans="2:11">
      <c r="B27" s="68" t="s">
        <v>16</v>
      </c>
      <c r="C27" s="1">
        <f>137.5*12*0</f>
        <v>0</v>
      </c>
      <c r="D27" s="96" t="s">
        <v>17</v>
      </c>
      <c r="E27" s="90"/>
    </row>
    <row r="28" spans="2:11">
      <c r="B28" s="68" t="s">
        <v>18</v>
      </c>
      <c r="C28" s="1">
        <f>123.75*12</f>
        <v>1485</v>
      </c>
      <c r="D28" s="96" t="s">
        <v>19</v>
      </c>
      <c r="E28" s="90" t="s">
        <v>85</v>
      </c>
    </row>
    <row r="29" spans="2:11">
      <c r="B29" s="68" t="s">
        <v>20</v>
      </c>
      <c r="C29" s="1">
        <f>123.75*12</f>
        <v>1485</v>
      </c>
      <c r="D29" s="96" t="s">
        <v>19</v>
      </c>
      <c r="E29" s="90" t="s">
        <v>85</v>
      </c>
    </row>
    <row r="30" spans="2:11">
      <c r="B30" s="68" t="s">
        <v>66</v>
      </c>
      <c r="C30" s="1">
        <f>150*12</f>
        <v>1800</v>
      </c>
      <c r="D30" s="96" t="s">
        <v>21</v>
      </c>
      <c r="E30" s="90" t="s">
        <v>85</v>
      </c>
    </row>
    <row r="31" spans="2:11">
      <c r="B31" s="68" t="s">
        <v>22</v>
      </c>
      <c r="C31" s="1">
        <f>137.5*12*0</f>
        <v>0</v>
      </c>
      <c r="D31" s="96" t="s">
        <v>17</v>
      </c>
      <c r="E31" s="90"/>
    </row>
    <row r="32" spans="2:11">
      <c r="B32" s="68" t="s">
        <v>23</v>
      </c>
      <c r="C32" s="1">
        <f>150*12*0</f>
        <v>0</v>
      </c>
      <c r="D32" s="96" t="s">
        <v>21</v>
      </c>
      <c r="E32" s="90"/>
    </row>
    <row r="33" spans="2:8">
      <c r="B33" s="97" t="s">
        <v>24</v>
      </c>
      <c r="C33" s="1">
        <f>C34</f>
        <v>0</v>
      </c>
      <c r="D33" s="96"/>
      <c r="E33" s="90"/>
    </row>
    <row r="34" spans="2:8">
      <c r="B34" s="68"/>
      <c r="C34" s="1"/>
      <c r="D34" s="96"/>
      <c r="E34" s="90"/>
    </row>
    <row r="35" spans="2:8" ht="18.75">
      <c r="B35" s="98" t="s">
        <v>26</v>
      </c>
      <c r="C35" s="99">
        <f>C24+C25+C33</f>
        <v>2649659.7959999996</v>
      </c>
      <c r="D35" s="96"/>
      <c r="E35" s="90"/>
    </row>
    <row r="36" spans="2:8" ht="15.75">
      <c r="B36" s="82" t="s">
        <v>27</v>
      </c>
      <c r="C36" s="100" t="s">
        <v>5</v>
      </c>
      <c r="D36" s="101" t="s">
        <v>28</v>
      </c>
      <c r="E36" s="90"/>
    </row>
    <row r="37" spans="2:8" ht="15.75">
      <c r="B37" s="102" t="s">
        <v>29</v>
      </c>
      <c r="C37" s="88"/>
      <c r="D37" s="103"/>
      <c r="E37" s="90"/>
      <c r="H37" s="36"/>
    </row>
    <row r="38" spans="2:8" ht="51">
      <c r="B38" s="104" t="s">
        <v>30</v>
      </c>
      <c r="C38" s="218">
        <f>(1.06*(3565+200)*1.5*1.15*1.083*1.302*3)+(1.06*(3708+200)*1.5*1.15*1.083*1.302*9)+(0.1*2773.6*12)</f>
        <v>123134.45007902701</v>
      </c>
      <c r="D38" s="219" t="s">
        <v>305</v>
      </c>
      <c r="E38" s="90" t="s">
        <v>86</v>
      </c>
      <c r="H38" s="37"/>
    </row>
    <row r="39" spans="2:8" ht="25.5">
      <c r="B39" s="104" t="s">
        <v>31</v>
      </c>
      <c r="C39" s="228">
        <f>(1.21*9538.51*3)+(1.21*9921.13*9)</f>
        <v>142665.897</v>
      </c>
      <c r="D39" s="231" t="s">
        <v>306</v>
      </c>
      <c r="E39" s="90"/>
      <c r="H39" s="37"/>
    </row>
    <row r="40" spans="2:8" ht="38.25">
      <c r="B40" s="104" t="s">
        <v>32</v>
      </c>
      <c r="C40" s="228">
        <f>(1*9538.51*3)+(1*9921.13*9)+(144*11.48767*12)</f>
        <v>137756.39376000001</v>
      </c>
      <c r="D40" s="231" t="s">
        <v>307</v>
      </c>
      <c r="E40" s="90" t="s">
        <v>86</v>
      </c>
      <c r="H40" s="37"/>
    </row>
    <row r="41" spans="2:8" s="38" customFormat="1" ht="51">
      <c r="B41" s="104" t="s">
        <v>33</v>
      </c>
      <c r="C41" s="220">
        <f>459*(360.84*0.025*3+362.52*0.025*3+382.25*0.025*6)</f>
        <v>51219.580500000004</v>
      </c>
      <c r="D41" s="221" t="s">
        <v>308</v>
      </c>
      <c r="E41" s="86" t="s">
        <v>87</v>
      </c>
      <c r="H41" s="37"/>
    </row>
    <row r="42" spans="2:8" ht="15.75">
      <c r="B42" s="104" t="s">
        <v>34</v>
      </c>
      <c r="C42" s="222">
        <f>(16.86+17.53)*144</f>
        <v>4952.16</v>
      </c>
      <c r="D42" s="223" t="s">
        <v>309</v>
      </c>
      <c r="E42" s="90" t="s">
        <v>88</v>
      </c>
      <c r="H42" s="37"/>
    </row>
    <row r="43" spans="2:8" ht="36.75" customHeight="1">
      <c r="B43" s="104" t="s">
        <v>35</v>
      </c>
      <c r="C43" s="222">
        <f>(49.72+51.71)*2*0</f>
        <v>0</v>
      </c>
      <c r="D43" s="223" t="s">
        <v>220</v>
      </c>
      <c r="E43" s="90"/>
      <c r="H43" s="37"/>
    </row>
    <row r="44" spans="2:8" ht="15.75">
      <c r="B44" s="104" t="s">
        <v>36</v>
      </c>
      <c r="C44" s="164">
        <f>0.25*(1300+4*10)*12</f>
        <v>4020</v>
      </c>
      <c r="D44" s="150" t="s">
        <v>169</v>
      </c>
      <c r="E44" s="90" t="s">
        <v>85</v>
      </c>
      <c r="H44" s="37"/>
    </row>
    <row r="45" spans="2:8" ht="15.75">
      <c r="B45" s="106" t="s">
        <v>37</v>
      </c>
      <c r="C45" s="164">
        <f>2.34*(1300+4*10)*4</f>
        <v>12542.4</v>
      </c>
      <c r="D45" s="150" t="s">
        <v>170</v>
      </c>
      <c r="E45" s="90" t="s">
        <v>89</v>
      </c>
      <c r="H45" s="37"/>
    </row>
    <row r="46" spans="2:8" ht="25.5">
      <c r="B46" s="87" t="s">
        <v>38</v>
      </c>
      <c r="C46" s="3">
        <f>4190*4</f>
        <v>16760</v>
      </c>
      <c r="D46" s="71" t="s">
        <v>126</v>
      </c>
      <c r="E46" s="155" t="s">
        <v>159</v>
      </c>
      <c r="H46" s="37"/>
    </row>
    <row r="47" spans="2:8" s="58" customFormat="1" ht="15.75">
      <c r="B47" s="115" t="s">
        <v>448</v>
      </c>
      <c r="C47" s="224">
        <f>2006.75*12</f>
        <v>24081</v>
      </c>
      <c r="D47" s="225" t="s">
        <v>449</v>
      </c>
      <c r="E47" s="90" t="s">
        <v>85</v>
      </c>
      <c r="H47" s="61"/>
    </row>
    <row r="48" spans="2:8" ht="25.5">
      <c r="B48" s="115" t="s">
        <v>67</v>
      </c>
      <c r="C48" s="224">
        <f>(700.55*6+728.57*6)*0</f>
        <v>0</v>
      </c>
      <c r="D48" s="225" t="s">
        <v>221</v>
      </c>
      <c r="E48" s="90" t="s">
        <v>85</v>
      </c>
      <c r="H48" s="37"/>
    </row>
    <row r="49" spans="2:8" ht="25.5">
      <c r="B49" s="87" t="s">
        <v>41</v>
      </c>
      <c r="C49" s="222">
        <f>((5338.98*1)+(3813.56*11))*4</f>
        <v>189152.56</v>
      </c>
      <c r="D49" s="232" t="s">
        <v>310</v>
      </c>
      <c r="E49" s="90" t="s">
        <v>85</v>
      </c>
      <c r="H49" s="37"/>
    </row>
    <row r="50" spans="2:8" ht="50.25" customHeight="1">
      <c r="B50" s="87" t="s">
        <v>45</v>
      </c>
      <c r="C50" s="227">
        <f>459*(211.42*6*1.45/12+226.93*6*1.45/12)</f>
        <v>145871.92124999998</v>
      </c>
      <c r="D50" s="225" t="s">
        <v>311</v>
      </c>
      <c r="E50" s="90" t="s">
        <v>87</v>
      </c>
      <c r="H50" s="37"/>
    </row>
    <row r="51" spans="2:8" ht="25.5">
      <c r="B51" s="87" t="s">
        <v>46</v>
      </c>
      <c r="C51" s="224">
        <f>0*(232.8*6+243.11*6)</f>
        <v>0</v>
      </c>
      <c r="D51" s="228" t="s">
        <v>223</v>
      </c>
      <c r="E51" s="90" t="s">
        <v>87</v>
      </c>
      <c r="H51" s="37"/>
    </row>
    <row r="52" spans="2:8" ht="15.75">
      <c r="B52" s="108" t="s">
        <v>47</v>
      </c>
      <c r="C52" s="109">
        <f>SUM(C38:C51)</f>
        <v>852156.36258902692</v>
      </c>
      <c r="D52" s="110"/>
      <c r="E52" s="90"/>
    </row>
    <row r="53" spans="2:8">
      <c r="B53" s="104" t="s">
        <v>48</v>
      </c>
      <c r="C53" s="1"/>
      <c r="D53" s="96"/>
      <c r="E53" s="90"/>
    </row>
    <row r="54" spans="2:8" s="39" customFormat="1" ht="51">
      <c r="B54" s="112" t="s">
        <v>49</v>
      </c>
      <c r="C54" s="222">
        <f>(22.69*96.4189*3)+(22.69*100.2864*9)+(1.78*(C14+C15)*12)</f>
        <v>218577.84026699999</v>
      </c>
      <c r="D54" s="229" t="s">
        <v>312</v>
      </c>
      <c r="E54" s="113"/>
    </row>
    <row r="55" spans="2:8">
      <c r="B55" s="106" t="s">
        <v>50</v>
      </c>
      <c r="C55" s="1">
        <f>13.69*1639.8*0</f>
        <v>0</v>
      </c>
      <c r="D55" s="96" t="s">
        <v>313</v>
      </c>
      <c r="E55" s="90" t="s">
        <v>441</v>
      </c>
    </row>
    <row r="56" spans="2:8" ht="89.25">
      <c r="B56" s="114" t="s">
        <v>120</v>
      </c>
      <c r="C56" s="4">
        <f>17.51*(C14+C15)</f>
        <v>157012.17000000001</v>
      </c>
      <c r="D56" s="96" t="s">
        <v>315</v>
      </c>
      <c r="E56" s="90"/>
    </row>
    <row r="57" spans="2:8" ht="51">
      <c r="B57" s="104" t="s">
        <v>51</v>
      </c>
      <c r="C57" s="222">
        <f>(632.04+251.07/3)*42663/1000</f>
        <v>30535.188990000002</v>
      </c>
      <c r="D57" s="229" t="s">
        <v>316</v>
      </c>
      <c r="E57" s="115" t="s">
        <v>91</v>
      </c>
    </row>
    <row r="58" spans="2:8" ht="51">
      <c r="B58" s="116" t="s">
        <v>52</v>
      </c>
      <c r="C58" s="230">
        <f>((954.13/12*3*96.4189)+(954.13/12*9*100.2864))+((954.13/12*3*96.4189)+(954.13/12*9*100.2864))/1.302*25%</f>
        <v>112959.54069014134</v>
      </c>
      <c r="D58" s="229" t="s">
        <v>317</v>
      </c>
      <c r="E58" s="90"/>
    </row>
    <row r="59" spans="2:8" ht="15.75">
      <c r="B59" s="117" t="s">
        <v>53</v>
      </c>
      <c r="C59" s="109">
        <f>C54+C55+C56+C57+C58</f>
        <v>519084.73994714132</v>
      </c>
      <c r="D59" s="110"/>
      <c r="E59" s="90"/>
    </row>
    <row r="60" spans="2:8">
      <c r="B60" s="116" t="s">
        <v>54</v>
      </c>
      <c r="C60" s="1"/>
      <c r="D60" s="96"/>
      <c r="E60" s="90"/>
    </row>
    <row r="61" spans="2:8" s="38" customFormat="1" ht="12.75">
      <c r="B61" s="118" t="s">
        <v>55</v>
      </c>
      <c r="C61" s="2">
        <v>0</v>
      </c>
      <c r="D61" s="119"/>
      <c r="E61" s="86"/>
    </row>
    <row r="62" spans="2:8">
      <c r="B62" s="116" t="s">
        <v>56</v>
      </c>
      <c r="C62" s="88">
        <v>0</v>
      </c>
      <c r="D62" s="120"/>
      <c r="E62" s="90"/>
    </row>
    <row r="63" spans="2:8">
      <c r="B63" s="116" t="s">
        <v>57</v>
      </c>
      <c r="C63" s="88"/>
      <c r="D63" s="120"/>
      <c r="E63" s="90"/>
    </row>
    <row r="64" spans="2:8">
      <c r="B64" s="116" t="s">
        <v>58</v>
      </c>
      <c r="C64" s="88"/>
      <c r="D64" s="120"/>
      <c r="E64" s="90"/>
    </row>
    <row r="65" spans="2:8">
      <c r="B65" s="116" t="s">
        <v>59</v>
      </c>
      <c r="C65" s="88"/>
      <c r="D65" s="120"/>
      <c r="E65" s="90"/>
    </row>
    <row r="66" spans="2:8" ht="15.75">
      <c r="B66" s="117" t="s">
        <v>60</v>
      </c>
      <c r="C66" s="121">
        <f>C61+C62</f>
        <v>0</v>
      </c>
      <c r="D66" s="122"/>
      <c r="E66" s="90"/>
    </row>
    <row r="67" spans="2:8">
      <c r="B67" s="123" t="s">
        <v>61</v>
      </c>
      <c r="C67" s="88">
        <f>3.05*(C14+C15)</f>
        <v>27349.35</v>
      </c>
      <c r="D67" s="120" t="s">
        <v>318</v>
      </c>
      <c r="E67" s="90"/>
    </row>
    <row r="68" spans="2:8" ht="15.75">
      <c r="B68" s="124" t="s">
        <v>62</v>
      </c>
      <c r="C68" s="125">
        <f>1.49*(C14+C15)</f>
        <v>13360.83</v>
      </c>
      <c r="D68" s="126" t="s">
        <v>450</v>
      </c>
      <c r="E68" s="90"/>
      <c r="H68" s="40"/>
    </row>
    <row r="69" spans="2:8">
      <c r="B69" s="68" t="s">
        <v>63</v>
      </c>
      <c r="C69" s="88">
        <f>(C52+C59)*0.341</f>
        <v>467593.21596483339</v>
      </c>
      <c r="D69" s="120" t="s">
        <v>224</v>
      </c>
      <c r="E69" s="90"/>
    </row>
    <row r="70" spans="2:8" ht="38.25">
      <c r="B70" s="68" t="s">
        <v>121</v>
      </c>
      <c r="C70" s="125">
        <f>(C52+C59+C69)*0.132</f>
        <v>242726.13004213222</v>
      </c>
      <c r="D70" s="69" t="s">
        <v>225</v>
      </c>
      <c r="E70" s="90" t="s">
        <v>85</v>
      </c>
    </row>
    <row r="71" spans="2:8" ht="15.75">
      <c r="B71" s="127" t="s">
        <v>122</v>
      </c>
      <c r="C71" s="121">
        <f>C67+C68+C69+C70</f>
        <v>751029.52600696567</v>
      </c>
      <c r="D71" s="122"/>
      <c r="E71" s="90"/>
    </row>
    <row r="72" spans="2:8">
      <c r="B72" s="68" t="s">
        <v>64</v>
      </c>
      <c r="C72" s="88">
        <f>(C52+C59+C66+C71)*3%</f>
        <v>63668.118856294015</v>
      </c>
      <c r="D72" s="120"/>
      <c r="E72" s="90"/>
    </row>
    <row r="73" spans="2:8" ht="15.75">
      <c r="B73" s="128" t="s">
        <v>26</v>
      </c>
      <c r="C73" s="129">
        <f>C52+C59+C66+C71+C72</f>
        <v>2185938.7473994279</v>
      </c>
      <c r="D73" s="130"/>
      <c r="E73" s="90"/>
    </row>
    <row r="74" spans="2:8" ht="15.75">
      <c r="B74" s="128" t="s">
        <v>65</v>
      </c>
      <c r="C74" s="129">
        <f>C73*1.18</f>
        <v>2579407.7219313248</v>
      </c>
      <c r="D74" s="130"/>
      <c r="E74" s="90"/>
    </row>
    <row r="75" spans="2:8" ht="15.75">
      <c r="B75" s="131"/>
      <c r="C75" s="132">
        <f>C35-C74</f>
        <v>70252.074068674818</v>
      </c>
      <c r="D75" s="133"/>
      <c r="E75" s="90"/>
    </row>
    <row r="76" spans="2:8" ht="30">
      <c r="B76" s="134" t="s">
        <v>123</v>
      </c>
      <c r="C76" s="135">
        <f>C74/(C14+C15)/12</f>
        <v>23.971299597889715</v>
      </c>
      <c r="D76" s="136" t="s">
        <v>314</v>
      </c>
      <c r="E76" s="137"/>
    </row>
    <row r="77" spans="2:8">
      <c r="B77" s="138"/>
      <c r="E77" s="138"/>
    </row>
    <row r="78" spans="2:8" ht="15" customHeight="1">
      <c r="B78" s="802" t="s">
        <v>124</v>
      </c>
      <c r="C78" s="802"/>
      <c r="D78" s="802"/>
      <c r="E78" s="138"/>
    </row>
    <row r="79" spans="2:8" ht="42" customHeight="1">
      <c r="B79" s="803" t="s">
        <v>226</v>
      </c>
      <c r="C79" s="803"/>
      <c r="D79" s="803"/>
      <c r="E79" s="803"/>
    </row>
    <row r="80" spans="2:8" ht="36" customHeight="1">
      <c r="B80" s="803" t="s">
        <v>227</v>
      </c>
      <c r="C80" s="803"/>
      <c r="D80" s="803"/>
      <c r="E80" s="803"/>
    </row>
    <row r="81" spans="2:5" ht="26.25" customHeight="1">
      <c r="B81" s="157"/>
      <c r="C81" s="158"/>
      <c r="D81" s="159"/>
      <c r="E81" s="138"/>
    </row>
    <row r="82" spans="2:5">
      <c r="B82" s="160"/>
      <c r="C82" s="161"/>
      <c r="D82" s="162"/>
      <c r="E82" s="138"/>
    </row>
    <row r="83" spans="2:5">
      <c r="B83" s="797" t="s">
        <v>188</v>
      </c>
      <c r="C83" s="797"/>
      <c r="D83" s="797"/>
      <c r="E83" s="138"/>
    </row>
    <row r="84" spans="2:5">
      <c r="B84" s="797"/>
      <c r="C84" s="797"/>
      <c r="D84" s="797"/>
    </row>
    <row r="86" spans="2:5" ht="18.75">
      <c r="B86" s="170"/>
      <c r="C86" s="170"/>
      <c r="D86" s="170"/>
    </row>
    <row r="95" spans="2:5" s="41" customFormat="1">
      <c r="B95" s="66"/>
      <c r="C95" s="66"/>
      <c r="D95" s="66"/>
      <c r="E95" s="67"/>
    </row>
    <row r="96" spans="2:5" s="41" customFormat="1">
      <c r="B96" s="66"/>
      <c r="C96" s="66"/>
      <c r="D96" s="66"/>
      <c r="E96" s="67"/>
    </row>
    <row r="97" spans="2:5" s="41" customFormat="1">
      <c r="B97" s="66"/>
      <c r="C97" s="66"/>
      <c r="D97" s="66"/>
      <c r="E97" s="67"/>
    </row>
    <row r="98" spans="2:5" s="41" customFormat="1">
      <c r="B98" s="66"/>
      <c r="C98" s="66"/>
      <c r="D98" s="66"/>
      <c r="E98" s="67"/>
    </row>
    <row r="99" spans="2:5" s="41" customFormat="1">
      <c r="B99" s="66"/>
      <c r="C99" s="66"/>
      <c r="D99" s="66"/>
      <c r="E99" s="67"/>
    </row>
    <row r="100" spans="2:5" s="41" customFormat="1">
      <c r="B100" s="66"/>
      <c r="C100" s="66"/>
      <c r="D100" s="66"/>
      <c r="E100" s="67"/>
    </row>
    <row r="101" spans="2:5" s="41" customFormat="1">
      <c r="B101" s="66"/>
      <c r="C101" s="66"/>
      <c r="D101" s="66"/>
      <c r="E101" s="67"/>
    </row>
    <row r="102" spans="2:5" s="41" customFormat="1">
      <c r="B102" s="66"/>
      <c r="C102" s="66"/>
      <c r="D102" s="66"/>
      <c r="E102" s="67"/>
    </row>
  </sheetData>
  <mergeCells count="7">
    <mergeCell ref="B84:D84"/>
    <mergeCell ref="B78:D78"/>
    <mergeCell ref="B10:E10"/>
    <mergeCell ref="B11:E12"/>
    <mergeCell ref="B83:D83"/>
    <mergeCell ref="B79:E79"/>
    <mergeCell ref="B80:E80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B2:K104"/>
  <sheetViews>
    <sheetView topLeftCell="A40" workbookViewId="0">
      <selection activeCell="C47" sqref="C47"/>
    </sheetView>
  </sheetViews>
  <sheetFormatPr defaultColWidth="9.140625" defaultRowHeight="15"/>
  <cols>
    <col min="1" max="1" width="4" style="42" customWidth="1"/>
    <col min="2" max="2" width="44.7109375" style="66" customWidth="1"/>
    <col min="3" max="3" width="14.5703125" style="66" customWidth="1"/>
    <col min="4" max="4" width="33.42578125" style="66" customWidth="1"/>
    <col min="5" max="5" width="18.42578125" style="67" customWidth="1"/>
    <col min="6" max="6" width="7.28515625" style="42" customWidth="1"/>
    <col min="7" max="7" width="9.140625" style="42"/>
    <col min="8" max="8" width="7" style="42" customWidth="1"/>
    <col min="9" max="9" width="13.7109375" style="42" customWidth="1"/>
    <col min="10" max="16384" width="9.140625" style="42"/>
  </cols>
  <sheetData>
    <row r="2" spans="2:11" ht="6.75" customHeight="1"/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15.7</v>
      </c>
      <c r="K5" s="141" t="s">
        <v>157</v>
      </c>
    </row>
    <row r="6" spans="2:11" ht="11.25" customHeight="1">
      <c r="D6" s="163"/>
      <c r="E6" s="65"/>
      <c r="I6" s="140" t="s">
        <v>134</v>
      </c>
      <c r="J6" s="140">
        <v>824.7</v>
      </c>
      <c r="K6" s="141"/>
    </row>
    <row r="7" spans="2:11" ht="15.75">
      <c r="D7" s="163" t="s">
        <v>217</v>
      </c>
      <c r="E7" s="65"/>
      <c r="I7" s="140" t="s">
        <v>135</v>
      </c>
      <c r="J7" s="140">
        <v>14</v>
      </c>
      <c r="K7" s="141"/>
    </row>
    <row r="8" spans="2:11" ht="15" customHeight="1">
      <c r="D8" s="70"/>
      <c r="I8" s="140" t="s">
        <v>136</v>
      </c>
      <c r="J8" s="212">
        <v>60</v>
      </c>
      <c r="K8" s="141"/>
    </row>
    <row r="9" spans="2:11" ht="13.5" customHeight="1">
      <c r="D9" s="70"/>
      <c r="I9" s="142" t="s">
        <v>137</v>
      </c>
      <c r="J9" s="140">
        <v>5164</v>
      </c>
      <c r="K9" s="141"/>
    </row>
    <row r="10" spans="2:11" ht="18" customHeight="1">
      <c r="B10" s="798" t="s">
        <v>218</v>
      </c>
      <c r="C10" s="798"/>
      <c r="D10" s="798"/>
      <c r="E10" s="798"/>
      <c r="I10" s="140" t="s">
        <v>138</v>
      </c>
      <c r="J10" s="140">
        <v>401.6</v>
      </c>
      <c r="K10" s="141"/>
    </row>
    <row r="11" spans="2:11" ht="15" customHeight="1">
      <c r="B11" s="798" t="s">
        <v>98</v>
      </c>
      <c r="C11" s="798"/>
      <c r="D11" s="798"/>
      <c r="E11" s="798"/>
      <c r="I11" s="140" t="s">
        <v>139</v>
      </c>
      <c r="J11" s="140">
        <v>992.3</v>
      </c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0</v>
      </c>
      <c r="K12" s="141"/>
    </row>
    <row r="13" spans="2:11" ht="15.75" customHeight="1">
      <c r="B13" s="73"/>
      <c r="C13" s="73"/>
      <c r="D13" s="73"/>
      <c r="I13" s="140" t="s">
        <v>141</v>
      </c>
      <c r="J13" s="140">
        <v>0</v>
      </c>
      <c r="K13" s="141"/>
    </row>
    <row r="14" spans="2:11" ht="15.75">
      <c r="B14" s="74" t="s">
        <v>2</v>
      </c>
      <c r="C14" s="75">
        <v>834.2</v>
      </c>
      <c r="D14" s="76" t="s">
        <v>72</v>
      </c>
      <c r="I14" s="140" t="s">
        <v>142</v>
      </c>
      <c r="J14" s="140">
        <v>1122</v>
      </c>
      <c r="K14" s="141"/>
    </row>
    <row r="15" spans="2:11" s="43" customFormat="1" ht="15.75">
      <c r="B15" s="77" t="s">
        <v>3</v>
      </c>
      <c r="C15" s="78">
        <v>371.3</v>
      </c>
      <c r="D15" s="79"/>
      <c r="E15" s="80"/>
      <c r="I15" s="140" t="s">
        <v>143</v>
      </c>
      <c r="J15" s="59">
        <v>1975.4</v>
      </c>
      <c r="K15" s="141"/>
    </row>
    <row r="16" spans="2:11" s="43" customFormat="1" ht="19.5" customHeight="1">
      <c r="B16" s="77"/>
      <c r="C16" s="78"/>
      <c r="D16" s="79"/>
      <c r="E16" s="80"/>
      <c r="I16" s="140" t="s">
        <v>144</v>
      </c>
      <c r="J16" s="140">
        <v>1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98.446343344901393</v>
      </c>
      <c r="K17" s="141"/>
    </row>
    <row r="18" spans="2:11">
      <c r="B18" s="85" t="s">
        <v>7</v>
      </c>
      <c r="C18" s="149">
        <f>C14*15.7*12</f>
        <v>157163.28</v>
      </c>
      <c r="D18" s="150" t="s">
        <v>319</v>
      </c>
      <c r="E18" s="86" t="s">
        <v>85</v>
      </c>
      <c r="I18" s="140" t="s">
        <v>146</v>
      </c>
      <c r="J18" s="140">
        <v>6.49</v>
      </c>
      <c r="K18" s="141"/>
    </row>
    <row r="19" spans="2:11" ht="38.25">
      <c r="B19" s="87" t="s">
        <v>8</v>
      </c>
      <c r="C19" s="214">
        <f>60*(211.42*6*1.45/12+226.93*6*1.45/12)*1.18</f>
        <v>22500.505499999996</v>
      </c>
      <c r="D19" s="215" t="s">
        <v>320</v>
      </c>
      <c r="E19" s="90"/>
      <c r="I19" s="140" t="s">
        <v>147</v>
      </c>
      <c r="J19" s="143">
        <v>0.61</v>
      </c>
      <c r="K19" s="144">
        <f>(J15/3+J14)/2920</f>
        <v>0.60974885844748861</v>
      </c>
    </row>
    <row r="20" spans="2:11">
      <c r="B20" s="91" t="s">
        <v>9</v>
      </c>
      <c r="C20" s="88">
        <f>C21+C24</f>
        <v>32619.645275999996</v>
      </c>
      <c r="D20" s="183"/>
      <c r="E20" s="90"/>
      <c r="I20" s="145" t="s">
        <v>148</v>
      </c>
      <c r="J20" s="145"/>
      <c r="K20" s="141"/>
    </row>
    <row r="21" spans="2:11">
      <c r="B21" s="68" t="s">
        <v>75</v>
      </c>
      <c r="C21" s="92">
        <f>C22+C23</f>
        <v>0</v>
      </c>
      <c r="D21" s="184"/>
      <c r="E21" s="90"/>
      <c r="I21" s="146" t="s">
        <v>149</v>
      </c>
      <c r="J21" s="147"/>
      <c r="K21" s="141"/>
    </row>
    <row r="22" spans="2:11">
      <c r="B22" s="94" t="s">
        <v>10</v>
      </c>
      <c r="C22" s="167">
        <f>201.2*15.7*12*0</f>
        <v>0</v>
      </c>
      <c r="D22" s="208" t="s">
        <v>322</v>
      </c>
      <c r="E22" s="90" t="s">
        <v>85</v>
      </c>
      <c r="I22" s="58" t="s">
        <v>150</v>
      </c>
      <c r="J22" s="58">
        <v>1.45</v>
      </c>
      <c r="K22" s="141"/>
    </row>
    <row r="23" spans="2:11" ht="25.5">
      <c r="B23" s="94" t="s">
        <v>11</v>
      </c>
      <c r="C23" s="216">
        <f>0*(232.8*1.18*6+243.11*1.18*6)</f>
        <v>0</v>
      </c>
      <c r="D23" s="217" t="s">
        <v>219</v>
      </c>
      <c r="E23" s="90" t="s">
        <v>85</v>
      </c>
      <c r="G23" s="42">
        <v>4.83</v>
      </c>
      <c r="I23" s="58" t="s">
        <v>151</v>
      </c>
      <c r="J23" s="58"/>
      <c r="K23" s="141"/>
    </row>
    <row r="24" spans="2:11">
      <c r="B24" s="68" t="s">
        <v>76</v>
      </c>
      <c r="C24" s="92">
        <f>C25+C26</f>
        <v>32619.645275999996</v>
      </c>
      <c r="D24" s="93"/>
      <c r="E24" s="90"/>
      <c r="I24" s="141" t="s">
        <v>152</v>
      </c>
      <c r="J24" s="141"/>
      <c r="K24" s="141"/>
    </row>
    <row r="25" spans="2:11">
      <c r="B25" s="94" t="s">
        <v>10</v>
      </c>
      <c r="C25" s="167">
        <f>170.1*15.7*12</f>
        <v>32046.839999999997</v>
      </c>
      <c r="D25" s="208" t="s">
        <v>321</v>
      </c>
      <c r="E25" s="90" t="s">
        <v>85</v>
      </c>
      <c r="I25" s="58" t="s">
        <v>153</v>
      </c>
      <c r="J25" s="58">
        <v>834.2</v>
      </c>
      <c r="K25" s="58"/>
    </row>
    <row r="26" spans="2:11" ht="25.5">
      <c r="B26" s="94" t="s">
        <v>11</v>
      </c>
      <c r="C26" s="216">
        <f>0.17*(232.8*1.18*6+243.11*1.18*6)</f>
        <v>572.80527600000005</v>
      </c>
      <c r="D26" s="217" t="s">
        <v>251</v>
      </c>
      <c r="E26" s="90" t="s">
        <v>85</v>
      </c>
      <c r="G26" s="42">
        <v>0.17</v>
      </c>
    </row>
    <row r="27" spans="2:11" ht="15.75">
      <c r="B27" s="95" t="s">
        <v>12</v>
      </c>
      <c r="C27" s="1">
        <f>C18+C20</f>
        <v>189782.92527599999</v>
      </c>
      <c r="D27" s="96"/>
      <c r="E27" s="90"/>
    </row>
    <row r="28" spans="2:11">
      <c r="B28" s="97" t="s">
        <v>13</v>
      </c>
      <c r="C28" s="1">
        <f>C29+C30+C31+C32+C33+C34+C35</f>
        <v>1485</v>
      </c>
      <c r="D28" s="96"/>
      <c r="E28" s="90"/>
    </row>
    <row r="29" spans="2:11">
      <c r="B29" s="68" t="s">
        <v>14</v>
      </c>
      <c r="C29" s="1">
        <f>34.98*12*0</f>
        <v>0</v>
      </c>
      <c r="D29" s="96" t="s">
        <v>15</v>
      </c>
      <c r="E29" s="90"/>
    </row>
    <row r="30" spans="2:11">
      <c r="B30" s="68" t="s">
        <v>16</v>
      </c>
      <c r="C30" s="1">
        <f>137.5*12*0</f>
        <v>0</v>
      </c>
      <c r="D30" s="96" t="s">
        <v>17</v>
      </c>
      <c r="E30" s="90"/>
    </row>
    <row r="31" spans="2:11">
      <c r="B31" s="68" t="s">
        <v>18</v>
      </c>
      <c r="C31" s="1">
        <f>123.75*12*0</f>
        <v>0</v>
      </c>
      <c r="D31" s="96" t="s">
        <v>19</v>
      </c>
      <c r="E31" s="90"/>
    </row>
    <row r="32" spans="2:11">
      <c r="B32" s="68" t="s">
        <v>20</v>
      </c>
      <c r="C32" s="1">
        <f>123.75*12</f>
        <v>1485</v>
      </c>
      <c r="D32" s="96" t="s">
        <v>19</v>
      </c>
      <c r="E32" s="90" t="s">
        <v>85</v>
      </c>
    </row>
    <row r="33" spans="2:8">
      <c r="B33" s="68" t="s">
        <v>66</v>
      </c>
      <c r="C33" s="1">
        <f>150*12*0</f>
        <v>0</v>
      </c>
      <c r="D33" s="96" t="s">
        <v>21</v>
      </c>
      <c r="E33" s="90"/>
    </row>
    <row r="34" spans="2:8">
      <c r="B34" s="68" t="s">
        <v>22</v>
      </c>
      <c r="C34" s="1">
        <f>137.5*12*0</f>
        <v>0</v>
      </c>
      <c r="D34" s="96" t="s">
        <v>17</v>
      </c>
      <c r="E34" s="90"/>
    </row>
    <row r="35" spans="2:8">
      <c r="B35" s="68" t="s">
        <v>23</v>
      </c>
      <c r="C35" s="1">
        <f>150*12*0</f>
        <v>0</v>
      </c>
      <c r="D35" s="96" t="s">
        <v>21</v>
      </c>
      <c r="E35" s="90"/>
    </row>
    <row r="36" spans="2:8">
      <c r="B36" s="97" t="s">
        <v>24</v>
      </c>
      <c r="C36" s="1">
        <f>C37</f>
        <v>0</v>
      </c>
      <c r="D36" s="96"/>
      <c r="E36" s="90"/>
    </row>
    <row r="37" spans="2:8">
      <c r="B37" s="68"/>
      <c r="C37" s="1"/>
      <c r="D37" s="96"/>
      <c r="E37" s="90"/>
    </row>
    <row r="38" spans="2:8" ht="18.75">
      <c r="B38" s="98" t="s">
        <v>26</v>
      </c>
      <c r="C38" s="99">
        <f>C27+C28+C36</f>
        <v>191267.92527599999</v>
      </c>
      <c r="D38" s="96"/>
      <c r="E38" s="90"/>
    </row>
    <row r="39" spans="2:8" ht="15.75">
      <c r="B39" s="82" t="s">
        <v>27</v>
      </c>
      <c r="C39" s="100" t="s">
        <v>5</v>
      </c>
      <c r="D39" s="101" t="s">
        <v>28</v>
      </c>
      <c r="E39" s="90"/>
    </row>
    <row r="40" spans="2:8" ht="15.75">
      <c r="B40" s="102" t="s">
        <v>29</v>
      </c>
      <c r="C40" s="88"/>
      <c r="D40" s="103"/>
      <c r="E40" s="90"/>
      <c r="H40" s="44"/>
    </row>
    <row r="41" spans="2:8" ht="51">
      <c r="B41" s="104" t="s">
        <v>30</v>
      </c>
      <c r="C41" s="218">
        <f>(0.61*(3565+200)*1.5*1.15*1.083*1.302*3)+(0.61*(3708+200)*1.5*1.15*1.083*1.302*9)+(0.1*1122*12)</f>
        <v>70291.4371209495</v>
      </c>
      <c r="D41" s="219" t="s">
        <v>323</v>
      </c>
      <c r="E41" s="90" t="s">
        <v>86</v>
      </c>
      <c r="H41" s="45"/>
    </row>
    <row r="42" spans="2:8" ht="15.75">
      <c r="B42" s="104" t="s">
        <v>31</v>
      </c>
      <c r="C42" s="175"/>
      <c r="D42" s="176"/>
      <c r="E42" s="90"/>
      <c r="H42" s="45"/>
    </row>
    <row r="43" spans="2:8" ht="15.75">
      <c r="B43" s="104" t="s">
        <v>32</v>
      </c>
      <c r="C43" s="175"/>
      <c r="D43" s="176"/>
      <c r="E43" s="90"/>
      <c r="H43" s="45"/>
    </row>
    <row r="44" spans="2:8" s="46" customFormat="1" ht="51">
      <c r="B44" s="104" t="s">
        <v>33</v>
      </c>
      <c r="C44" s="220">
        <f>60*(360.84*0.025*3+362.52*0.025*3+382.25*0.025*6)</f>
        <v>6695.37</v>
      </c>
      <c r="D44" s="221" t="s">
        <v>324</v>
      </c>
      <c r="E44" s="86" t="s">
        <v>87</v>
      </c>
      <c r="H44" s="45"/>
    </row>
    <row r="45" spans="2:8" ht="15.75">
      <c r="B45" s="104" t="s">
        <v>34</v>
      </c>
      <c r="C45" s="222">
        <f>(16.86+17.53)*14</f>
        <v>481.46000000000004</v>
      </c>
      <c r="D45" s="223" t="s">
        <v>292</v>
      </c>
      <c r="E45" s="90" t="s">
        <v>88</v>
      </c>
      <c r="H45" s="45"/>
    </row>
    <row r="46" spans="2:8" ht="36.75" customHeight="1">
      <c r="B46" s="104" t="s">
        <v>35</v>
      </c>
      <c r="C46" s="222">
        <f>(49.72+51.71)*2*14</f>
        <v>2840.04</v>
      </c>
      <c r="D46" s="223" t="s">
        <v>456</v>
      </c>
      <c r="E46" s="90" t="s">
        <v>89</v>
      </c>
      <c r="H46" s="45"/>
    </row>
    <row r="47" spans="2:8" ht="15.75">
      <c r="B47" s="104" t="s">
        <v>36</v>
      </c>
      <c r="C47" s="164">
        <f>0.25*834.2*12</f>
        <v>2502.6000000000004</v>
      </c>
      <c r="D47" s="150" t="s">
        <v>325</v>
      </c>
      <c r="E47" s="90" t="s">
        <v>85</v>
      </c>
      <c r="H47" s="45"/>
    </row>
    <row r="48" spans="2:8" ht="15.75">
      <c r="B48" s="106" t="s">
        <v>37</v>
      </c>
      <c r="C48" s="164">
        <f>2.34*834.2*4</f>
        <v>7808.1120000000001</v>
      </c>
      <c r="D48" s="150" t="s">
        <v>326</v>
      </c>
      <c r="E48" s="90" t="s">
        <v>89</v>
      </c>
      <c r="H48" s="45"/>
    </row>
    <row r="49" spans="2:8" ht="25.5">
      <c r="B49" s="115" t="s">
        <v>67</v>
      </c>
      <c r="C49" s="224">
        <f>(700.55*6+728.57*6)*0</f>
        <v>0</v>
      </c>
      <c r="D49" s="225" t="s">
        <v>221</v>
      </c>
      <c r="E49" s="90" t="s">
        <v>85</v>
      </c>
      <c r="H49" s="45"/>
    </row>
    <row r="50" spans="2:8" ht="25.5">
      <c r="B50" s="115" t="s">
        <v>190</v>
      </c>
      <c r="C50" s="226">
        <f>(695.13*6+722.94*6)*0</f>
        <v>0</v>
      </c>
      <c r="D50" s="225" t="s">
        <v>222</v>
      </c>
      <c r="E50" s="90" t="s">
        <v>85</v>
      </c>
      <c r="H50" s="45"/>
    </row>
    <row r="51" spans="2:8" ht="15.75">
      <c r="B51" s="115" t="s">
        <v>158</v>
      </c>
      <c r="C51" s="4">
        <f>1131.15*12</f>
        <v>13573.800000000001</v>
      </c>
      <c r="D51" s="209" t="s">
        <v>451</v>
      </c>
      <c r="E51" s="90" t="s">
        <v>85</v>
      </c>
      <c r="H51" s="45"/>
    </row>
    <row r="52" spans="2:8" ht="50.25" customHeight="1">
      <c r="B52" s="87" t="s">
        <v>45</v>
      </c>
      <c r="C52" s="227">
        <f>60*(211.42*6*1.45/12+226.93*6*1.45/12)</f>
        <v>19068.224999999999</v>
      </c>
      <c r="D52" s="225" t="s">
        <v>327</v>
      </c>
      <c r="E52" s="90" t="s">
        <v>87</v>
      </c>
      <c r="H52" s="45"/>
    </row>
    <row r="53" spans="2:8" ht="25.5">
      <c r="B53" s="87" t="s">
        <v>46</v>
      </c>
      <c r="C53" s="224">
        <f>0.17*(232.8*6+243.11*6)</f>
        <v>485.42820000000006</v>
      </c>
      <c r="D53" s="228" t="s">
        <v>328</v>
      </c>
      <c r="E53" s="90" t="s">
        <v>87</v>
      </c>
      <c r="H53" s="45"/>
    </row>
    <row r="54" spans="2:8" ht="15.75">
      <c r="B54" s="108" t="s">
        <v>47</v>
      </c>
      <c r="C54" s="109">
        <f>C41+C42+C43+C44+C45+C46+C47+C48+C49+C50+C51+C52+C53</f>
        <v>123746.47232094948</v>
      </c>
      <c r="D54" s="110"/>
      <c r="E54" s="90"/>
    </row>
    <row r="55" spans="2:8">
      <c r="B55" s="104" t="s">
        <v>48</v>
      </c>
      <c r="C55" s="1"/>
      <c r="D55" s="96"/>
      <c r="E55" s="90"/>
    </row>
    <row r="56" spans="2:8" s="47" customFormat="1" ht="51">
      <c r="B56" s="112" t="s">
        <v>49</v>
      </c>
      <c r="C56" s="222">
        <f>(6.49*96.4189*3)+(6.49*100.2864*9)+(1.78*(C14+C15)*12)</f>
        <v>33484.484606999999</v>
      </c>
      <c r="D56" s="229" t="s">
        <v>329</v>
      </c>
      <c r="E56" s="113"/>
    </row>
    <row r="57" spans="2:8">
      <c r="B57" s="106" t="s">
        <v>50</v>
      </c>
      <c r="C57" s="1">
        <f>13.69*992.3</f>
        <v>13584.587</v>
      </c>
      <c r="D57" s="96" t="s">
        <v>330</v>
      </c>
      <c r="E57" s="90" t="s">
        <v>90</v>
      </c>
    </row>
    <row r="58" spans="2:8" ht="89.25">
      <c r="B58" s="114" t="s">
        <v>120</v>
      </c>
      <c r="C58" s="4">
        <f>17.51*(C14+C15)*0</f>
        <v>0</v>
      </c>
      <c r="D58" s="96" t="s">
        <v>331</v>
      </c>
      <c r="E58" s="90"/>
    </row>
    <row r="59" spans="2:8" ht="51">
      <c r="B59" s="104" t="s">
        <v>51</v>
      </c>
      <c r="C59" s="222">
        <f>(632.04+251.07/3)*5164/1000</f>
        <v>3696.02972</v>
      </c>
      <c r="D59" s="229" t="s">
        <v>332</v>
      </c>
      <c r="E59" s="115" t="s">
        <v>91</v>
      </c>
    </row>
    <row r="60" spans="2:8" ht="51">
      <c r="B60" s="116" t="s">
        <v>52</v>
      </c>
      <c r="C60" s="230">
        <f>((98.45/12*3*96.4189)+(98.45/12*9*100.2864))+((98.45/12*3*96.4189)+(98.45/12*9*100.2864))/1.302*25%</f>
        <v>11655.504785453148</v>
      </c>
      <c r="D60" s="229" t="s">
        <v>333</v>
      </c>
      <c r="E60" s="90"/>
    </row>
    <row r="61" spans="2:8" ht="15.75">
      <c r="B61" s="117" t="s">
        <v>53</v>
      </c>
      <c r="C61" s="109">
        <f>C56+C57+C58+C59+C60</f>
        <v>62420.606112453141</v>
      </c>
      <c r="D61" s="110"/>
      <c r="E61" s="90"/>
    </row>
    <row r="62" spans="2:8">
      <c r="B62" s="116" t="s">
        <v>54</v>
      </c>
      <c r="C62" s="1"/>
      <c r="D62" s="96"/>
      <c r="E62" s="90"/>
    </row>
    <row r="63" spans="2:8" s="46" customFormat="1" ht="12.75">
      <c r="B63" s="118" t="s">
        <v>55</v>
      </c>
      <c r="C63" s="2">
        <v>0</v>
      </c>
      <c r="D63" s="119"/>
      <c r="E63" s="86"/>
    </row>
    <row r="64" spans="2:8">
      <c r="B64" s="116" t="s">
        <v>56</v>
      </c>
      <c r="C64" s="88">
        <v>0</v>
      </c>
      <c r="D64" s="120"/>
      <c r="E64" s="90"/>
    </row>
    <row r="65" spans="2:8">
      <c r="B65" s="116" t="s">
        <v>57</v>
      </c>
      <c r="C65" s="88"/>
      <c r="D65" s="120"/>
      <c r="E65" s="90"/>
    </row>
    <row r="66" spans="2:8">
      <c r="B66" s="116" t="s">
        <v>58</v>
      </c>
      <c r="C66" s="88"/>
      <c r="D66" s="120"/>
      <c r="E66" s="90"/>
    </row>
    <row r="67" spans="2:8">
      <c r="B67" s="116" t="s">
        <v>59</v>
      </c>
      <c r="C67" s="88"/>
      <c r="D67" s="120"/>
      <c r="E67" s="90"/>
    </row>
    <row r="68" spans="2:8" ht="15.75">
      <c r="B68" s="117" t="s">
        <v>60</v>
      </c>
      <c r="C68" s="121">
        <f>C63+C64</f>
        <v>0</v>
      </c>
      <c r="D68" s="122"/>
      <c r="E68" s="90"/>
    </row>
    <row r="69" spans="2:8">
      <c r="B69" s="123" t="s">
        <v>61</v>
      </c>
      <c r="C69" s="88">
        <f>3.05*(C14+371.3)</f>
        <v>3676.7749999999996</v>
      </c>
      <c r="D69" s="120" t="s">
        <v>334</v>
      </c>
      <c r="E69" s="90"/>
    </row>
    <row r="70" spans="2:8" ht="15.75">
      <c r="B70" s="124" t="s">
        <v>62</v>
      </c>
      <c r="C70" s="125">
        <f>1.49*(C14+371.3)</f>
        <v>1796.1949999999999</v>
      </c>
      <c r="D70" s="126" t="s">
        <v>452</v>
      </c>
      <c r="E70" s="90"/>
      <c r="H70" s="48"/>
    </row>
    <row r="71" spans="2:8">
      <c r="B71" s="68" t="s">
        <v>63</v>
      </c>
      <c r="C71" s="88">
        <f>(C54+C61)*0.341</f>
        <v>63482.973745790303</v>
      </c>
      <c r="D71" s="120" t="s">
        <v>224</v>
      </c>
      <c r="E71" s="90"/>
    </row>
    <row r="72" spans="2:8" ht="38.25">
      <c r="B72" s="68" t="s">
        <v>121</v>
      </c>
      <c r="C72" s="125">
        <f>(C54+C61+C71)*0.132</f>
        <v>32953.806887653474</v>
      </c>
      <c r="D72" s="69" t="s">
        <v>225</v>
      </c>
      <c r="E72" s="90" t="s">
        <v>85</v>
      </c>
    </row>
    <row r="73" spans="2:8" ht="15.75">
      <c r="B73" s="127" t="s">
        <v>122</v>
      </c>
      <c r="C73" s="121">
        <f>C69+C70+C71+C72</f>
        <v>101909.75063344376</v>
      </c>
      <c r="D73" s="122"/>
      <c r="E73" s="90"/>
    </row>
    <row r="74" spans="2:8">
      <c r="B74" s="68" t="s">
        <v>64</v>
      </c>
      <c r="C74" s="88">
        <f>(C54+C61+C68+C73)*3%</f>
        <v>8642.3048720053921</v>
      </c>
      <c r="D74" s="120"/>
      <c r="E74" s="90"/>
    </row>
    <row r="75" spans="2:8" ht="15.75">
      <c r="B75" s="128" t="s">
        <v>26</v>
      </c>
      <c r="C75" s="129">
        <f>C54+C61+C68+C73+C74</f>
        <v>296719.13393885177</v>
      </c>
      <c r="D75" s="130"/>
      <c r="E75" s="90"/>
    </row>
    <row r="76" spans="2:8" ht="15.75">
      <c r="B76" s="128" t="s">
        <v>65</v>
      </c>
      <c r="C76" s="129">
        <f>C75*1.18</f>
        <v>350128.57804784505</v>
      </c>
      <c r="D76" s="130"/>
      <c r="E76" s="90"/>
    </row>
    <row r="77" spans="2:8" ht="15.75">
      <c r="B77" s="131"/>
      <c r="C77" s="132">
        <f>C38-C76</f>
        <v>-158860.65277184505</v>
      </c>
      <c r="D77" s="133"/>
      <c r="E77" s="90"/>
    </row>
    <row r="78" spans="2:8" ht="30">
      <c r="B78" s="134" t="s">
        <v>123</v>
      </c>
      <c r="C78" s="135">
        <f>C76/(C14+C15)/12</f>
        <v>24.203551641631762</v>
      </c>
      <c r="D78" s="136" t="s">
        <v>204</v>
      </c>
      <c r="E78" s="137"/>
    </row>
    <row r="79" spans="2:8">
      <c r="B79" s="138"/>
      <c r="E79" s="138"/>
    </row>
    <row r="80" spans="2:8" ht="15" customHeight="1">
      <c r="B80" s="802" t="s">
        <v>124</v>
      </c>
      <c r="C80" s="802"/>
      <c r="D80" s="802"/>
      <c r="E80" s="138"/>
    </row>
    <row r="81" spans="2:5" ht="33" customHeight="1">
      <c r="B81" s="803" t="s">
        <v>226</v>
      </c>
      <c r="C81" s="803"/>
      <c r="D81" s="803"/>
      <c r="E81" s="803"/>
    </row>
    <row r="82" spans="2:5" ht="28.5" customHeight="1">
      <c r="B82" s="803" t="s">
        <v>227</v>
      </c>
      <c r="C82" s="803"/>
      <c r="D82" s="803"/>
      <c r="E82" s="803"/>
    </row>
    <row r="83" spans="2:5" ht="22.5" customHeight="1">
      <c r="B83" s="157"/>
      <c r="C83" s="158"/>
      <c r="D83" s="159"/>
      <c r="E83" s="138"/>
    </row>
    <row r="84" spans="2:5">
      <c r="B84" s="160"/>
      <c r="C84" s="161"/>
      <c r="D84" s="162"/>
      <c r="E84" s="138"/>
    </row>
    <row r="85" spans="2:5">
      <c r="B85" s="797" t="s">
        <v>188</v>
      </c>
      <c r="C85" s="797"/>
      <c r="D85" s="797"/>
      <c r="E85" s="138"/>
    </row>
    <row r="86" spans="2:5">
      <c r="B86" s="797"/>
      <c r="C86" s="797"/>
      <c r="D86" s="797"/>
    </row>
    <row r="88" spans="2:5" ht="18.75">
      <c r="B88" s="170"/>
      <c r="C88" s="170"/>
      <c r="D88" s="170"/>
    </row>
    <row r="97" spans="2:5" s="49" customFormat="1">
      <c r="B97" s="66"/>
      <c r="C97" s="66"/>
      <c r="D97" s="66"/>
      <c r="E97" s="67"/>
    </row>
    <row r="98" spans="2:5" s="49" customFormat="1">
      <c r="B98" s="66"/>
      <c r="C98" s="66"/>
      <c r="D98" s="66"/>
      <c r="E98" s="67"/>
    </row>
    <row r="99" spans="2:5" s="49" customFormat="1">
      <c r="B99" s="66"/>
      <c r="C99" s="66"/>
      <c r="D99" s="66"/>
      <c r="E99" s="67"/>
    </row>
    <row r="100" spans="2:5" s="49" customFormat="1">
      <c r="B100" s="66"/>
      <c r="C100" s="66"/>
      <c r="D100" s="66"/>
      <c r="E100" s="67"/>
    </row>
    <row r="101" spans="2:5" s="49" customFormat="1">
      <c r="B101" s="66"/>
      <c r="C101" s="66"/>
      <c r="D101" s="66"/>
      <c r="E101" s="67"/>
    </row>
    <row r="102" spans="2:5" s="49" customFormat="1">
      <c r="B102" s="66"/>
      <c r="C102" s="66"/>
      <c r="D102" s="66"/>
      <c r="E102" s="67"/>
    </row>
    <row r="103" spans="2:5" s="49" customFormat="1">
      <c r="B103" s="66"/>
      <c r="C103" s="66"/>
      <c r="D103" s="66"/>
      <c r="E103" s="67"/>
    </row>
    <row r="104" spans="2:5" s="49" customFormat="1">
      <c r="B104" s="66"/>
      <c r="C104" s="66"/>
      <c r="D104" s="66"/>
      <c r="E104" s="67"/>
    </row>
  </sheetData>
  <mergeCells count="7">
    <mergeCell ref="B86:D86"/>
    <mergeCell ref="B80:D80"/>
    <mergeCell ref="B10:E10"/>
    <mergeCell ref="B11:E12"/>
    <mergeCell ref="B85:D85"/>
    <mergeCell ref="B81:E81"/>
    <mergeCell ref="B82:E8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4"/>
  <sheetViews>
    <sheetView topLeftCell="A58" workbookViewId="0">
      <selection activeCell="C70" sqref="C70:D70"/>
    </sheetView>
  </sheetViews>
  <sheetFormatPr defaultColWidth="9.140625" defaultRowHeight="15"/>
  <cols>
    <col min="1" max="1" width="4" style="50" customWidth="1"/>
    <col min="2" max="2" width="44.7109375" style="66" customWidth="1"/>
    <col min="3" max="3" width="14.5703125" style="66" customWidth="1"/>
    <col min="4" max="4" width="33.42578125" style="66" customWidth="1"/>
    <col min="5" max="5" width="18.42578125" style="67" customWidth="1"/>
    <col min="6" max="6" width="5.7109375" style="50" customWidth="1"/>
    <col min="7" max="8" width="9.140625" style="50"/>
    <col min="9" max="9" width="14.28515625" style="50" customWidth="1"/>
    <col min="10" max="16384" width="9.140625" style="50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15.7</v>
      </c>
      <c r="K5" s="141" t="s">
        <v>157</v>
      </c>
    </row>
    <row r="6" spans="2:11" ht="15.75">
      <c r="D6" s="163"/>
      <c r="E6" s="65"/>
      <c r="I6" s="140" t="s">
        <v>134</v>
      </c>
      <c r="J6" s="140">
        <v>820</v>
      </c>
      <c r="K6" s="141"/>
    </row>
    <row r="7" spans="2:11" ht="15.75">
      <c r="D7" s="163" t="s">
        <v>217</v>
      </c>
      <c r="E7" s="65"/>
      <c r="I7" s="140" t="s">
        <v>135</v>
      </c>
      <c r="J7" s="140">
        <v>14</v>
      </c>
      <c r="K7" s="141"/>
    </row>
    <row r="8" spans="2:11" ht="15.75">
      <c r="D8" s="70"/>
      <c r="I8" s="140" t="s">
        <v>136</v>
      </c>
      <c r="J8" s="212">
        <v>80</v>
      </c>
      <c r="K8" s="141"/>
    </row>
    <row r="9" spans="2:11" ht="15.75">
      <c r="D9" s="70"/>
      <c r="I9" s="142" t="s">
        <v>137</v>
      </c>
      <c r="J9" s="140">
        <v>7269</v>
      </c>
      <c r="K9" s="141"/>
    </row>
    <row r="10" spans="2:11" ht="30.7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99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/>
      <c r="K12" s="141"/>
    </row>
    <row r="13" spans="2:11" ht="15.75">
      <c r="B13" s="73"/>
      <c r="C13" s="73"/>
      <c r="D13" s="73"/>
      <c r="I13" s="140" t="s">
        <v>141</v>
      </c>
      <c r="J13" s="140"/>
      <c r="K13" s="141"/>
    </row>
    <row r="14" spans="2:11" ht="15.75">
      <c r="B14" s="74" t="s">
        <v>2</v>
      </c>
      <c r="C14" s="75">
        <v>820</v>
      </c>
      <c r="D14" s="76" t="s">
        <v>72</v>
      </c>
      <c r="I14" s="140" t="s">
        <v>142</v>
      </c>
      <c r="J14" s="140">
        <v>1061.7</v>
      </c>
      <c r="K14" s="141"/>
    </row>
    <row r="15" spans="2:11" s="51" customFormat="1" ht="15.75">
      <c r="B15" s="77" t="s">
        <v>3</v>
      </c>
      <c r="C15" s="78">
        <v>218.7</v>
      </c>
      <c r="D15" s="79"/>
      <c r="E15" s="80"/>
      <c r="I15" s="140" t="s">
        <v>143</v>
      </c>
      <c r="J15" s="59">
        <v>1087.5999999999999</v>
      </c>
      <c r="K15" s="141"/>
    </row>
    <row r="16" spans="2:11" s="51" customFormat="1" ht="15.75">
      <c r="B16" s="77"/>
      <c r="C16" s="78"/>
      <c r="D16" s="79"/>
      <c r="E16" s="80"/>
      <c r="I16" s="140" t="s">
        <v>144</v>
      </c>
      <c r="J16" s="140"/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93.880543942713999</v>
      </c>
      <c r="K17" s="141"/>
    </row>
    <row r="18" spans="2:11">
      <c r="B18" s="85" t="s">
        <v>7</v>
      </c>
      <c r="C18" s="149">
        <f>C14*15.7*12</f>
        <v>154488</v>
      </c>
      <c r="D18" s="150" t="s">
        <v>335</v>
      </c>
      <c r="E18" s="86" t="s">
        <v>85</v>
      </c>
      <c r="I18" s="140" t="s">
        <v>146</v>
      </c>
      <c r="J18" s="140">
        <v>6.46</v>
      </c>
      <c r="K18" s="141"/>
    </row>
    <row r="19" spans="2:11" ht="38.25">
      <c r="B19" s="87" t="s">
        <v>8</v>
      </c>
      <c r="C19" s="214">
        <f>80*(211.42*6*1.45/12+226.93*6*1.45/12)*1.18</f>
        <v>30000.673999999999</v>
      </c>
      <c r="D19" s="215" t="s">
        <v>336</v>
      </c>
      <c r="E19" s="90"/>
      <c r="I19" s="140" t="s">
        <v>147</v>
      </c>
      <c r="J19" s="143">
        <v>0.49</v>
      </c>
      <c r="K19" s="144">
        <f>(J15/3+J14)/2920</f>
        <v>0.48775114155251142</v>
      </c>
    </row>
    <row r="20" spans="2:11">
      <c r="B20" s="91" t="s">
        <v>9</v>
      </c>
      <c r="C20" s="88">
        <f>C21+C24</f>
        <v>52120.074672000002</v>
      </c>
      <c r="D20" s="183"/>
      <c r="E20" s="90"/>
      <c r="I20" s="145" t="s">
        <v>148</v>
      </c>
      <c r="J20" s="145"/>
      <c r="K20" s="141"/>
    </row>
    <row r="21" spans="2:11">
      <c r="B21" s="68" t="s">
        <v>77</v>
      </c>
      <c r="C21" s="92">
        <f>C22+C23</f>
        <v>11228.64</v>
      </c>
      <c r="D21" s="184"/>
      <c r="E21" s="90"/>
      <c r="I21" s="146" t="s">
        <v>149</v>
      </c>
      <c r="J21" s="147"/>
      <c r="K21" s="141"/>
    </row>
    <row r="22" spans="2:11">
      <c r="B22" s="94" t="s">
        <v>10</v>
      </c>
      <c r="C22" s="167">
        <f>59.6*15.7*12</f>
        <v>11228.64</v>
      </c>
      <c r="D22" s="208" t="s">
        <v>339</v>
      </c>
      <c r="E22" s="90" t="s">
        <v>85</v>
      </c>
      <c r="I22" s="58" t="s">
        <v>150</v>
      </c>
      <c r="J22" s="58">
        <v>1.45</v>
      </c>
      <c r="K22" s="141"/>
    </row>
    <row r="23" spans="2:11" ht="25.5">
      <c r="B23" s="94" t="s">
        <v>11</v>
      </c>
      <c r="C23" s="216">
        <f>0*(232.8*1.18*6+243.11*1.18*6)</f>
        <v>0</v>
      </c>
      <c r="D23" s="217" t="s">
        <v>219</v>
      </c>
      <c r="E23" s="90" t="s">
        <v>85</v>
      </c>
      <c r="I23" s="58" t="s">
        <v>151</v>
      </c>
      <c r="J23" s="58"/>
      <c r="K23" s="141"/>
    </row>
    <row r="24" spans="2:11">
      <c r="B24" s="68" t="s">
        <v>205</v>
      </c>
      <c r="C24" s="92">
        <f>C25+C26</f>
        <v>40891.434672000003</v>
      </c>
      <c r="D24" s="93"/>
      <c r="E24" s="90"/>
      <c r="I24" s="141" t="s">
        <v>152</v>
      </c>
      <c r="J24" s="141"/>
      <c r="K24" s="141"/>
    </row>
    <row r="25" spans="2:11">
      <c r="B25" s="94" t="s">
        <v>10</v>
      </c>
      <c r="C25" s="167">
        <f>159.1*15.7*12</f>
        <v>29974.44</v>
      </c>
      <c r="D25" s="208" t="s">
        <v>337</v>
      </c>
      <c r="E25" s="90" t="s">
        <v>85</v>
      </c>
      <c r="I25" s="58" t="s">
        <v>153</v>
      </c>
      <c r="J25" s="58">
        <v>820</v>
      </c>
      <c r="K25" s="58"/>
    </row>
    <row r="26" spans="2:11" ht="25.5">
      <c r="B26" s="94" t="s">
        <v>11</v>
      </c>
      <c r="C26" s="216">
        <f>3.24*(232.8*1.18*6+243.11*1.18*6)</f>
        <v>10916.994672000001</v>
      </c>
      <c r="D26" s="217" t="s">
        <v>338</v>
      </c>
      <c r="E26" s="90" t="s">
        <v>85</v>
      </c>
    </row>
    <row r="27" spans="2:11" ht="15.75">
      <c r="B27" s="95" t="s">
        <v>12</v>
      </c>
      <c r="C27" s="1">
        <f>C18+C20</f>
        <v>206608.07467200002</v>
      </c>
      <c r="D27" s="96"/>
      <c r="E27" s="90"/>
    </row>
    <row r="28" spans="2:11">
      <c r="B28" s="97" t="s">
        <v>13</v>
      </c>
      <c r="C28" s="1">
        <f>C29+C30+C31+C32+C33+C34+C35</f>
        <v>1485</v>
      </c>
      <c r="D28" s="96"/>
      <c r="E28" s="90"/>
    </row>
    <row r="29" spans="2:11">
      <c r="B29" s="68" t="s">
        <v>14</v>
      </c>
      <c r="C29" s="1">
        <f>34.98*12*0</f>
        <v>0</v>
      </c>
      <c r="D29" s="96" t="s">
        <v>15</v>
      </c>
      <c r="E29" s="90"/>
    </row>
    <row r="30" spans="2:11">
      <c r="B30" s="68" t="s">
        <v>16</v>
      </c>
      <c r="C30" s="1">
        <f>137.5*12*0</f>
        <v>0</v>
      </c>
      <c r="D30" s="96" t="s">
        <v>17</v>
      </c>
      <c r="E30" s="90"/>
    </row>
    <row r="31" spans="2:11">
      <c r="B31" s="68" t="s">
        <v>18</v>
      </c>
      <c r="C31" s="1">
        <f>123.75*12*0</f>
        <v>0</v>
      </c>
      <c r="D31" s="96" t="s">
        <v>19</v>
      </c>
      <c r="E31" s="90"/>
    </row>
    <row r="32" spans="2:11">
      <c r="B32" s="68" t="s">
        <v>20</v>
      </c>
      <c r="C32" s="1">
        <f>123.75*12</f>
        <v>1485</v>
      </c>
      <c r="D32" s="96" t="s">
        <v>19</v>
      </c>
      <c r="E32" s="90" t="s">
        <v>85</v>
      </c>
    </row>
    <row r="33" spans="2:8">
      <c r="B33" s="68" t="s">
        <v>66</v>
      </c>
      <c r="C33" s="1">
        <f>150*12*0</f>
        <v>0</v>
      </c>
      <c r="D33" s="96" t="s">
        <v>21</v>
      </c>
      <c r="E33" s="90"/>
    </row>
    <row r="34" spans="2:8">
      <c r="B34" s="68" t="s">
        <v>22</v>
      </c>
      <c r="C34" s="1">
        <f>137.5*12*0</f>
        <v>0</v>
      </c>
      <c r="D34" s="96" t="s">
        <v>17</v>
      </c>
      <c r="E34" s="90"/>
    </row>
    <row r="35" spans="2:8">
      <c r="B35" s="68" t="s">
        <v>23</v>
      </c>
      <c r="C35" s="1">
        <f>150*12*0</f>
        <v>0</v>
      </c>
      <c r="D35" s="96" t="s">
        <v>21</v>
      </c>
      <c r="E35" s="90"/>
    </row>
    <row r="36" spans="2:8">
      <c r="B36" s="97" t="s">
        <v>24</v>
      </c>
      <c r="C36" s="1">
        <f>C37</f>
        <v>0</v>
      </c>
      <c r="D36" s="96"/>
      <c r="E36" s="90"/>
    </row>
    <row r="37" spans="2:8">
      <c r="B37" s="68"/>
      <c r="C37" s="1"/>
      <c r="D37" s="96"/>
      <c r="E37" s="90"/>
    </row>
    <row r="38" spans="2:8" ht="18.75">
      <c r="B38" s="98" t="s">
        <v>26</v>
      </c>
      <c r="C38" s="99">
        <f>C27+C28+C36</f>
        <v>208093.07467200002</v>
      </c>
      <c r="D38" s="96"/>
      <c r="E38" s="90"/>
    </row>
    <row r="39" spans="2:8" ht="15.75">
      <c r="B39" s="82" t="s">
        <v>27</v>
      </c>
      <c r="C39" s="100" t="s">
        <v>5</v>
      </c>
      <c r="D39" s="101" t="s">
        <v>28</v>
      </c>
      <c r="E39" s="90"/>
    </row>
    <row r="40" spans="2:8" ht="15.75">
      <c r="B40" s="102" t="s">
        <v>29</v>
      </c>
      <c r="C40" s="88"/>
      <c r="D40" s="103"/>
      <c r="E40" s="90"/>
      <c r="H40" s="52"/>
    </row>
    <row r="41" spans="2:8" ht="51">
      <c r="B41" s="104" t="s">
        <v>30</v>
      </c>
      <c r="C41" s="218">
        <f>(0.49*(3565+200)*1.5*1.15*1.083*1.302*3)+(0.49*(3708+200)*1.5*1.15*1.083*1.302*9)+(0.1*1061.7*12)</f>
        <v>56656.118998795493</v>
      </c>
      <c r="D41" s="219" t="s">
        <v>340</v>
      </c>
      <c r="E41" s="90" t="s">
        <v>86</v>
      </c>
      <c r="H41" s="53"/>
    </row>
    <row r="42" spans="2:8" ht="15.75">
      <c r="B42" s="104" t="s">
        <v>31</v>
      </c>
      <c r="C42" s="175"/>
      <c r="D42" s="176"/>
      <c r="E42" s="90"/>
      <c r="H42" s="53"/>
    </row>
    <row r="43" spans="2:8" ht="15.75">
      <c r="B43" s="104" t="s">
        <v>32</v>
      </c>
      <c r="C43" s="175"/>
      <c r="D43" s="176"/>
      <c r="E43" s="90"/>
      <c r="H43" s="53"/>
    </row>
    <row r="44" spans="2:8" s="54" customFormat="1" ht="51">
      <c r="B44" s="104" t="s">
        <v>33</v>
      </c>
      <c r="C44" s="220">
        <f>80*(360.84*0.025*3+362.52*0.025*3+382.25*0.025*6)</f>
        <v>8927.16</v>
      </c>
      <c r="D44" s="221" t="s">
        <v>341</v>
      </c>
      <c r="E44" s="86" t="s">
        <v>87</v>
      </c>
      <c r="H44" s="53"/>
    </row>
    <row r="45" spans="2:8" ht="15.75">
      <c r="B45" s="104" t="s">
        <v>34</v>
      </c>
      <c r="C45" s="222">
        <f>(16.86+17.53)*14</f>
        <v>481.46000000000004</v>
      </c>
      <c r="D45" s="223" t="s">
        <v>292</v>
      </c>
      <c r="E45" s="90" t="s">
        <v>88</v>
      </c>
      <c r="H45" s="53"/>
    </row>
    <row r="46" spans="2:8" ht="36.75" customHeight="1">
      <c r="B46" s="104" t="s">
        <v>35</v>
      </c>
      <c r="C46" s="222">
        <f>(49.72+51.71)*2*0</f>
        <v>0</v>
      </c>
      <c r="D46" s="223" t="s">
        <v>220</v>
      </c>
      <c r="E46" s="90"/>
      <c r="H46" s="53"/>
    </row>
    <row r="47" spans="2:8" ht="15.75">
      <c r="B47" s="104" t="s">
        <v>36</v>
      </c>
      <c r="C47" s="164">
        <f>0.25*820*12</f>
        <v>2460</v>
      </c>
      <c r="D47" s="150" t="s">
        <v>161</v>
      </c>
      <c r="E47" s="90" t="s">
        <v>85</v>
      </c>
      <c r="H47" s="53"/>
    </row>
    <row r="48" spans="2:8" ht="15.75">
      <c r="B48" s="106" t="s">
        <v>37</v>
      </c>
      <c r="C48" s="164">
        <f>2.34*820*4</f>
        <v>7675.2</v>
      </c>
      <c r="D48" s="150" t="s">
        <v>162</v>
      </c>
      <c r="E48" s="90" t="s">
        <v>89</v>
      </c>
      <c r="H48" s="53"/>
    </row>
    <row r="49" spans="2:8" ht="25.5">
      <c r="B49" s="115" t="s">
        <v>67</v>
      </c>
      <c r="C49" s="224">
        <f>(700.55*6+728.57*6)*0</f>
        <v>0</v>
      </c>
      <c r="D49" s="225" t="s">
        <v>221</v>
      </c>
      <c r="E49" s="90" t="s">
        <v>85</v>
      </c>
      <c r="H49" s="53"/>
    </row>
    <row r="50" spans="2:8" ht="25.5">
      <c r="B50" s="115" t="s">
        <v>190</v>
      </c>
      <c r="C50" s="226">
        <f>(695.13*6+722.94*6)*0</f>
        <v>0</v>
      </c>
      <c r="D50" s="225" t="s">
        <v>222</v>
      </c>
      <c r="E50" s="90" t="s">
        <v>85</v>
      </c>
      <c r="H50" s="53"/>
    </row>
    <row r="51" spans="2:8" ht="15.75">
      <c r="B51" s="115" t="s">
        <v>158</v>
      </c>
      <c r="C51" s="4">
        <f>142.09*12</f>
        <v>1705.08</v>
      </c>
      <c r="D51" s="209" t="s">
        <v>206</v>
      </c>
      <c r="E51" s="90" t="s">
        <v>85</v>
      </c>
      <c r="H51" s="53"/>
    </row>
    <row r="52" spans="2:8" ht="50.25" customHeight="1">
      <c r="B52" s="87" t="s">
        <v>45</v>
      </c>
      <c r="C52" s="227">
        <f>80*(211.42*6*1.45/12+226.93*6*1.45/12)</f>
        <v>25424.3</v>
      </c>
      <c r="D52" s="225" t="s">
        <v>342</v>
      </c>
      <c r="E52" s="90" t="s">
        <v>87</v>
      </c>
      <c r="H52" s="53"/>
    </row>
    <row r="53" spans="2:8" ht="25.5">
      <c r="B53" s="87" t="s">
        <v>46</v>
      </c>
      <c r="C53" s="224">
        <f>3.24*(232.8*6+243.11*6)</f>
        <v>9251.6904000000013</v>
      </c>
      <c r="D53" s="228" t="s">
        <v>343</v>
      </c>
      <c r="E53" s="90" t="s">
        <v>87</v>
      </c>
      <c r="H53" s="53"/>
    </row>
    <row r="54" spans="2:8" ht="15.75">
      <c r="B54" s="108" t="s">
        <v>47</v>
      </c>
      <c r="C54" s="109">
        <f>C41+C42+C43+C44+C45+C46+C47+C48+C49+C50+C51+C52+C53</f>
        <v>112581.0093987955</v>
      </c>
      <c r="D54" s="110"/>
      <c r="E54" s="90"/>
    </row>
    <row r="55" spans="2:8">
      <c r="B55" s="104" t="s">
        <v>48</v>
      </c>
      <c r="C55" s="1"/>
      <c r="D55" s="96"/>
      <c r="E55" s="90"/>
    </row>
    <row r="56" spans="2:8" s="55" customFormat="1" ht="51">
      <c r="B56" s="112" t="s">
        <v>49</v>
      </c>
      <c r="C56" s="222">
        <f>(6.46*96.4189*3)+(6.46*100.2864*9)+(1.78*(C14+C15)*12)</f>
        <v>29885.881578</v>
      </c>
      <c r="D56" s="229" t="s">
        <v>344</v>
      </c>
      <c r="E56" s="113"/>
    </row>
    <row r="57" spans="2:8">
      <c r="B57" s="106" t="s">
        <v>50</v>
      </c>
      <c r="C57" s="1">
        <f>13.69*1024</f>
        <v>14018.56</v>
      </c>
      <c r="D57" s="96" t="s">
        <v>345</v>
      </c>
      <c r="E57" s="90" t="s">
        <v>90</v>
      </c>
    </row>
    <row r="58" spans="2:8" ht="89.25">
      <c r="B58" s="114" t="s">
        <v>120</v>
      </c>
      <c r="C58" s="4">
        <f>17.51*(C14+C15)*0</f>
        <v>0</v>
      </c>
      <c r="D58" s="96" t="s">
        <v>346</v>
      </c>
      <c r="E58" s="90"/>
    </row>
    <row r="59" spans="2:8" ht="51">
      <c r="B59" s="104" t="s">
        <v>51</v>
      </c>
      <c r="C59" s="222">
        <f>(632.04+251.07/3)*7269/1000</f>
        <v>5202.6413700000003</v>
      </c>
      <c r="D59" s="229" t="s">
        <v>347</v>
      </c>
      <c r="E59" s="115" t="s">
        <v>91</v>
      </c>
    </row>
    <row r="60" spans="2:8" ht="51">
      <c r="B60" s="116" t="s">
        <v>52</v>
      </c>
      <c r="C60" s="230">
        <f>((93.88/12*3*96.4189)+(93.88/12*9*100.2864))+((93.88/12*3*96.4189)+(93.88/12*9*100.2864))/1.302*25%</f>
        <v>11114.462054427035</v>
      </c>
      <c r="D60" s="229" t="s">
        <v>348</v>
      </c>
      <c r="E60" s="90"/>
    </row>
    <row r="61" spans="2:8" ht="15.75">
      <c r="B61" s="117" t="s">
        <v>53</v>
      </c>
      <c r="C61" s="109">
        <f>C56+C57+C58+C59+C60</f>
        <v>60221.545002427032</v>
      </c>
      <c r="D61" s="110"/>
      <c r="E61" s="90"/>
    </row>
    <row r="62" spans="2:8">
      <c r="B62" s="116" t="s">
        <v>54</v>
      </c>
      <c r="C62" s="1"/>
      <c r="D62" s="96"/>
      <c r="E62" s="90"/>
    </row>
    <row r="63" spans="2:8" s="54" customFormat="1" ht="12.75">
      <c r="B63" s="118" t="s">
        <v>55</v>
      </c>
      <c r="C63" s="2">
        <v>0</v>
      </c>
      <c r="D63" s="119"/>
      <c r="E63" s="86"/>
    </row>
    <row r="64" spans="2:8">
      <c r="B64" s="116" t="s">
        <v>56</v>
      </c>
      <c r="C64" s="88">
        <v>0</v>
      </c>
      <c r="D64" s="120"/>
      <c r="E64" s="90"/>
    </row>
    <row r="65" spans="2:8">
      <c r="B65" s="116" t="s">
        <v>57</v>
      </c>
      <c r="C65" s="88"/>
      <c r="D65" s="120"/>
      <c r="E65" s="90"/>
    </row>
    <row r="66" spans="2:8">
      <c r="B66" s="116" t="s">
        <v>58</v>
      </c>
      <c r="C66" s="88"/>
      <c r="D66" s="120"/>
      <c r="E66" s="90"/>
    </row>
    <row r="67" spans="2:8">
      <c r="B67" s="116" t="s">
        <v>59</v>
      </c>
      <c r="C67" s="88"/>
      <c r="D67" s="120"/>
      <c r="E67" s="90"/>
    </row>
    <row r="68" spans="2:8" ht="15.75">
      <c r="B68" s="117" t="s">
        <v>60</v>
      </c>
      <c r="C68" s="121">
        <f>C63+C64</f>
        <v>0</v>
      </c>
      <c r="D68" s="122"/>
      <c r="E68" s="90"/>
    </row>
    <row r="69" spans="2:8">
      <c r="B69" s="123" t="s">
        <v>61</v>
      </c>
      <c r="C69" s="88">
        <f>3.05*(C14+218.7)</f>
        <v>3168.0349999999999</v>
      </c>
      <c r="D69" s="120" t="s">
        <v>349</v>
      </c>
      <c r="E69" s="90"/>
    </row>
    <row r="70" spans="2:8" ht="15.75">
      <c r="B70" s="124" t="s">
        <v>62</v>
      </c>
      <c r="C70" s="125">
        <f>1.49*(C14+218.7)</f>
        <v>1547.663</v>
      </c>
      <c r="D70" s="126" t="s">
        <v>453</v>
      </c>
      <c r="E70" s="90"/>
      <c r="H70" s="56"/>
    </row>
    <row r="71" spans="2:8">
      <c r="B71" s="68" t="s">
        <v>63</v>
      </c>
      <c r="C71" s="88">
        <f>(C54+C61)*0.341</f>
        <v>58925.671050816884</v>
      </c>
      <c r="D71" s="120" t="s">
        <v>350</v>
      </c>
      <c r="E71" s="90"/>
    </row>
    <row r="72" spans="2:8" ht="38.25">
      <c r="B72" s="68" t="s">
        <v>121</v>
      </c>
      <c r="C72" s="125">
        <f>(C54+C61+C71)*0.132</f>
        <v>30588.125759669205</v>
      </c>
      <c r="D72" s="69" t="s">
        <v>225</v>
      </c>
      <c r="E72" s="90" t="s">
        <v>85</v>
      </c>
    </row>
    <row r="73" spans="2:8" ht="15.75">
      <c r="B73" s="127" t="s">
        <v>122</v>
      </c>
      <c r="C73" s="121">
        <f>C69+C70+C71+C72</f>
        <v>94229.494810486081</v>
      </c>
      <c r="D73" s="122"/>
      <c r="E73" s="90"/>
    </row>
    <row r="74" spans="2:8">
      <c r="B74" s="68" t="s">
        <v>64</v>
      </c>
      <c r="C74" s="88">
        <f>(C54+C61+C68+C73)*3%</f>
        <v>8010.9614763512573</v>
      </c>
      <c r="D74" s="120"/>
      <c r="E74" s="90"/>
    </row>
    <row r="75" spans="2:8" ht="15.75">
      <c r="B75" s="128" t="s">
        <v>26</v>
      </c>
      <c r="C75" s="129">
        <f>C54+C61+C68+C73+C74</f>
        <v>275043.01068805985</v>
      </c>
      <c r="D75" s="130"/>
      <c r="E75" s="90"/>
    </row>
    <row r="76" spans="2:8" ht="15.75">
      <c r="B76" s="128" t="s">
        <v>65</v>
      </c>
      <c r="C76" s="129">
        <f>C75*1.18</f>
        <v>324550.75261191058</v>
      </c>
      <c r="D76" s="130"/>
      <c r="E76" s="90"/>
    </row>
    <row r="77" spans="2:8" ht="15.75">
      <c r="B77" s="131"/>
      <c r="C77" s="132">
        <f>C38-C76</f>
        <v>-116457.67793991056</v>
      </c>
      <c r="D77" s="133"/>
      <c r="E77" s="90"/>
    </row>
    <row r="78" spans="2:8" ht="30">
      <c r="B78" s="134" t="s">
        <v>123</v>
      </c>
      <c r="C78" s="135">
        <f>C76/(C14+C15)/12</f>
        <v>26.038217051114419</v>
      </c>
      <c r="D78" s="136" t="s">
        <v>160</v>
      </c>
      <c r="E78" s="137"/>
    </row>
    <row r="79" spans="2:8">
      <c r="B79" s="138"/>
      <c r="E79" s="138"/>
    </row>
    <row r="80" spans="2:8" ht="15" customHeight="1">
      <c r="B80" s="802" t="s">
        <v>124</v>
      </c>
      <c r="C80" s="802"/>
      <c r="D80" s="802"/>
      <c r="E80" s="138"/>
    </row>
    <row r="81" spans="2:5" ht="38.25" customHeight="1">
      <c r="B81" s="803" t="s">
        <v>226</v>
      </c>
      <c r="C81" s="803"/>
      <c r="D81" s="803"/>
      <c r="E81" s="803"/>
    </row>
    <row r="82" spans="2:5" ht="36" customHeight="1">
      <c r="B82" s="803" t="s">
        <v>227</v>
      </c>
      <c r="C82" s="803"/>
      <c r="D82" s="803"/>
      <c r="E82" s="803"/>
    </row>
    <row r="83" spans="2:5" ht="24.75" customHeight="1">
      <c r="B83" s="157"/>
      <c r="C83" s="158"/>
      <c r="D83" s="159"/>
      <c r="E83" s="138"/>
    </row>
    <row r="84" spans="2:5">
      <c r="B84" s="160"/>
      <c r="C84" s="161"/>
      <c r="D84" s="162"/>
      <c r="E84" s="138"/>
    </row>
    <row r="85" spans="2:5">
      <c r="B85" s="797" t="s">
        <v>188</v>
      </c>
      <c r="C85" s="797"/>
      <c r="D85" s="797"/>
      <c r="E85" s="138"/>
    </row>
    <row r="86" spans="2:5">
      <c r="B86" s="797"/>
      <c r="C86" s="797"/>
      <c r="D86" s="797"/>
    </row>
    <row r="88" spans="2:5" ht="18.75">
      <c r="B88" s="170"/>
      <c r="C88" s="170"/>
      <c r="D88" s="170"/>
    </row>
    <row r="97" spans="2:5" s="57" customFormat="1">
      <c r="B97" s="66"/>
      <c r="C97" s="66"/>
      <c r="D97" s="66"/>
      <c r="E97" s="67"/>
    </row>
    <row r="98" spans="2:5" s="57" customFormat="1">
      <c r="B98" s="66"/>
      <c r="C98" s="66"/>
      <c r="D98" s="66"/>
      <c r="E98" s="67"/>
    </row>
    <row r="99" spans="2:5" s="57" customFormat="1">
      <c r="B99" s="66"/>
      <c r="C99" s="66"/>
      <c r="D99" s="66"/>
      <c r="E99" s="67"/>
    </row>
    <row r="100" spans="2:5" s="57" customFormat="1">
      <c r="B100" s="66"/>
      <c r="C100" s="66"/>
      <c r="D100" s="66"/>
      <c r="E100" s="67"/>
    </row>
    <row r="101" spans="2:5" s="57" customFormat="1">
      <c r="B101" s="66"/>
      <c r="C101" s="66"/>
      <c r="D101" s="66"/>
      <c r="E101" s="67"/>
    </row>
    <row r="102" spans="2:5" s="57" customFormat="1">
      <c r="B102" s="66"/>
      <c r="C102" s="66"/>
      <c r="D102" s="66"/>
      <c r="E102" s="67"/>
    </row>
    <row r="103" spans="2:5" s="57" customFormat="1">
      <c r="B103" s="66"/>
      <c r="C103" s="66"/>
      <c r="D103" s="66"/>
      <c r="E103" s="67"/>
    </row>
    <row r="104" spans="2:5" s="57" customFormat="1">
      <c r="B104" s="66"/>
      <c r="C104" s="66"/>
      <c r="D104" s="66"/>
      <c r="E104" s="67"/>
    </row>
  </sheetData>
  <mergeCells count="7">
    <mergeCell ref="B86:D86"/>
    <mergeCell ref="B80:D80"/>
    <mergeCell ref="B10:E10"/>
    <mergeCell ref="B11:E12"/>
    <mergeCell ref="B85:D85"/>
    <mergeCell ref="B81:E81"/>
    <mergeCell ref="B82:E8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topLeftCell="A12" workbookViewId="0">
      <selection activeCell="E6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539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14753.3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20.96</v>
      </c>
    </row>
    <row r="15" spans="1:7">
      <c r="A15" s="474" t="s">
        <v>7</v>
      </c>
      <c r="B15" s="475">
        <f>B11*G14*12</f>
        <v>3710750.0159999998</v>
      </c>
      <c r="C15" s="481" t="s">
        <v>614</v>
      </c>
      <c r="D15" s="477" t="s">
        <v>85</v>
      </c>
      <c r="F15" s="259" t="s">
        <v>134</v>
      </c>
      <c r="G15" s="260">
        <v>14753.3</v>
      </c>
    </row>
    <row r="16" spans="1:7">
      <c r="A16" s="474" t="s">
        <v>9</v>
      </c>
      <c r="B16" s="478">
        <f>B12</f>
        <v>0</v>
      </c>
      <c r="C16" s="547"/>
      <c r="D16" s="477"/>
      <c r="F16" s="259" t="s">
        <v>135</v>
      </c>
      <c r="G16" s="260">
        <v>252</v>
      </c>
    </row>
    <row r="17" spans="1:7" ht="15.75">
      <c r="A17" s="543" t="s">
        <v>12</v>
      </c>
      <c r="B17" s="544">
        <f>B15+B16</f>
        <v>3710750.0159999998</v>
      </c>
      <c r="C17" s="548"/>
      <c r="D17" s="477"/>
      <c r="E17" s="162"/>
      <c r="F17" s="259" t="s">
        <v>136</v>
      </c>
      <c r="G17" s="260">
        <v>812</v>
      </c>
    </row>
    <row r="18" spans="1:7">
      <c r="A18" s="549" t="s">
        <v>13</v>
      </c>
      <c r="B18" s="550">
        <f>B19+B20+B21+B22+B23+B24</f>
        <v>5189.76</v>
      </c>
      <c r="C18" s="548"/>
      <c r="D18" s="477"/>
      <c r="F18" s="247" t="s">
        <v>459</v>
      </c>
      <c r="G18" s="248">
        <v>0</v>
      </c>
    </row>
    <row r="19" spans="1:7">
      <c r="A19" s="488" t="s">
        <v>14</v>
      </c>
      <c r="B19" s="172">
        <f>34.98*12</f>
        <v>419.76</v>
      </c>
      <c r="C19" s="485" t="s">
        <v>15</v>
      </c>
      <c r="D19" s="477" t="s">
        <v>85</v>
      </c>
      <c r="F19" s="259" t="s">
        <v>139</v>
      </c>
      <c r="G19" s="260">
        <v>2372</v>
      </c>
    </row>
    <row r="20" spans="1:7">
      <c r="A20" s="488" t="s">
        <v>16</v>
      </c>
      <c r="B20" s="487">
        <f>137.5*12*0</f>
        <v>0</v>
      </c>
      <c r="C20" s="485" t="s">
        <v>17</v>
      </c>
      <c r="D20" s="477" t="s">
        <v>85</v>
      </c>
      <c r="F20" s="259" t="s">
        <v>140</v>
      </c>
      <c r="G20" s="260">
        <v>7</v>
      </c>
    </row>
    <row r="21" spans="1:7">
      <c r="A21" s="488" t="s">
        <v>18</v>
      </c>
      <c r="B21" s="487">
        <f>123.75*12</f>
        <v>1485</v>
      </c>
      <c r="C21" s="485" t="s">
        <v>19</v>
      </c>
      <c r="D21" s="477" t="s">
        <v>85</v>
      </c>
      <c r="F21" s="259" t="s">
        <v>141</v>
      </c>
      <c r="G21" s="260">
        <v>7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2973.9</v>
      </c>
    </row>
    <row r="23" spans="1:7">
      <c r="A23" s="488" t="s">
        <v>66</v>
      </c>
      <c r="B23" s="487">
        <f>150*12</f>
        <v>1800</v>
      </c>
      <c r="C23" s="485" t="s">
        <v>21</v>
      </c>
      <c r="D23" s="477" t="s">
        <v>85</v>
      </c>
      <c r="F23" s="259" t="s">
        <v>143</v>
      </c>
      <c r="G23" s="277">
        <v>7049.7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1642.1</v>
      </c>
    </row>
    <row r="26" spans="1:7" ht="18.75">
      <c r="A26" s="491" t="s">
        <v>26</v>
      </c>
      <c r="B26" s="492">
        <f>B17+B18+B25</f>
        <v>3715939.7759999996</v>
      </c>
      <c r="C26" s="489"/>
      <c r="D26" s="490"/>
      <c r="F26" s="259" t="s">
        <v>460</v>
      </c>
      <c r="G26" s="278">
        <v>30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2.753767123287671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G16/144</f>
        <v>1.75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317828.50747955247</v>
      </c>
      <c r="C29" s="341" t="s">
        <v>615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9</v>
      </c>
    </row>
    <row r="31" spans="1:7" ht="39.75" customHeight="1">
      <c r="A31" s="287" t="s">
        <v>32</v>
      </c>
      <c r="B31" s="342">
        <f>(1.75*9921.13*6)+(1.75*10317.11*6)+(252*10.41812*12)</f>
        <v>244005.91488</v>
      </c>
      <c r="C31" s="344" t="s">
        <v>616</v>
      </c>
      <c r="D31" s="258"/>
      <c r="F31" s="247" t="s">
        <v>462</v>
      </c>
      <c r="G31" s="279">
        <v>1788.2</v>
      </c>
    </row>
    <row r="32" spans="1:7">
      <c r="A32" s="287" t="s">
        <v>34</v>
      </c>
      <c r="B32" s="345">
        <f>(16.06+16.7)*G16</f>
        <v>8255.5199999999986</v>
      </c>
      <c r="C32" s="346" t="s">
        <v>590</v>
      </c>
      <c r="D32" s="258" t="s">
        <v>88</v>
      </c>
      <c r="F32" s="285" t="s">
        <v>463</v>
      </c>
      <c r="G32" s="286">
        <v>1788.2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60476</v>
      </c>
    </row>
    <row r="34" spans="1:7">
      <c r="A34" s="287" t="s">
        <v>36</v>
      </c>
      <c r="B34" s="347">
        <f>0.25*G31*12</f>
        <v>5364.6</v>
      </c>
      <c r="C34" s="348" t="s">
        <v>622</v>
      </c>
      <c r="D34" s="258" t="s">
        <v>85</v>
      </c>
      <c r="F34" s="247" t="s">
        <v>465</v>
      </c>
      <c r="G34" s="279">
        <v>2</v>
      </c>
    </row>
    <row r="35" spans="1:7">
      <c r="A35" s="291" t="s">
        <v>37</v>
      </c>
      <c r="B35" s="345">
        <f>2.34*G31*4</f>
        <v>16737.552</v>
      </c>
      <c r="C35" s="251" t="s">
        <v>623</v>
      </c>
      <c r="D35" s="258" t="s">
        <v>89</v>
      </c>
      <c r="F35" s="247" t="s">
        <v>467</v>
      </c>
      <c r="G35" s="279">
        <v>2</v>
      </c>
    </row>
    <row r="36" spans="1:7" ht="30">
      <c r="A36" s="417" t="s">
        <v>67</v>
      </c>
      <c r="B36" s="381">
        <f>(635.59*6+661.01*6)*G34</f>
        <v>15559.2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 ht="30">
      <c r="A38" s="385" t="s">
        <v>536</v>
      </c>
      <c r="B38" s="383">
        <f>G16*(42.9*6+44.62*6)*0</f>
        <v>0</v>
      </c>
      <c r="C38" s="417" t="s">
        <v>617</v>
      </c>
      <c r="D38" s="505"/>
    </row>
    <row r="39" spans="1:7">
      <c r="A39" s="385" t="s">
        <v>529</v>
      </c>
      <c r="B39" s="383">
        <f>3750*12*7</f>
        <v>315000</v>
      </c>
      <c r="C39" s="417" t="s">
        <v>607</v>
      </c>
      <c r="D39" s="504" t="s">
        <v>85</v>
      </c>
    </row>
    <row r="40" spans="1:7">
      <c r="A40" s="385" t="s">
        <v>530</v>
      </c>
      <c r="B40" s="383">
        <f>4190*7</f>
        <v>29330</v>
      </c>
      <c r="C40" s="417" t="s">
        <v>605</v>
      </c>
      <c r="D40" s="505" t="s">
        <v>532</v>
      </c>
    </row>
    <row r="41" spans="1:7" ht="15.75">
      <c r="A41" s="507" t="s">
        <v>47</v>
      </c>
      <c r="B41" s="492">
        <f>SUM(B29:B40)</f>
        <v>952081.29435955244</v>
      </c>
      <c r="C41" s="509"/>
      <c r="D41" s="477"/>
    </row>
    <row r="42" spans="1:7">
      <c r="A42" s="496" t="s">
        <v>48</v>
      </c>
      <c r="B42" s="487"/>
      <c r="C42" s="485"/>
      <c r="D42" s="477"/>
    </row>
    <row r="43" spans="1:7" s="111" customFormat="1" ht="55.5" customHeight="1">
      <c r="A43" s="421" t="s">
        <v>49</v>
      </c>
      <c r="B43" s="413">
        <f>(G26*100.2134*6)+(G26*104.2268)+(1.71*(B12+B11)*12)</f>
        <v>323902.93200000003</v>
      </c>
      <c r="C43" s="422" t="s">
        <v>618</v>
      </c>
      <c r="D43" s="423"/>
      <c r="E43" s="513"/>
    </row>
    <row r="44" spans="1:7" ht="120">
      <c r="A44" s="426" t="s">
        <v>120</v>
      </c>
      <c r="B44" s="427">
        <f>17.51*(B12+B11)</f>
        <v>258330.283</v>
      </c>
      <c r="C44" s="428" t="s">
        <v>619</v>
      </c>
      <c r="D44" s="377"/>
    </row>
    <row r="45" spans="1:7" ht="63">
      <c r="A45" s="456" t="s">
        <v>51</v>
      </c>
      <c r="B45" s="457">
        <f>(654.11+263.56/3)*G33/1000</f>
        <v>44870.974546666665</v>
      </c>
      <c r="C45" s="458" t="s">
        <v>612</v>
      </c>
      <c r="D45" s="459" t="s">
        <v>91</v>
      </c>
    </row>
    <row r="46" spans="1:7" ht="60">
      <c r="A46" s="430" t="s">
        <v>52</v>
      </c>
      <c r="B46" s="431">
        <f>((G25/12*6*100.2134)+(G25/12*6*104.2268))+((G25/12*6*100.2134)+(G25/12*6*104.2268))/1.302*25%</f>
        <v>200085.96918427033</v>
      </c>
      <c r="C46" s="422" t="s">
        <v>725</v>
      </c>
      <c r="D46" s="377"/>
    </row>
    <row r="47" spans="1:7" ht="15.75">
      <c r="A47" s="515" t="s">
        <v>53</v>
      </c>
      <c r="B47" s="492">
        <f>SUM(B43:B46)</f>
        <v>827190.15873093717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5" s="105" customFormat="1" ht="12.75">
      <c r="A49" s="118" t="s">
        <v>501</v>
      </c>
      <c r="B49" s="201"/>
      <c r="C49" s="516"/>
      <c r="D49" s="477"/>
      <c r="E49" s="499"/>
    </row>
    <row r="50" spans="1:5">
      <c r="A50" s="514" t="s">
        <v>502</v>
      </c>
      <c r="B50" s="487"/>
      <c r="C50" s="517"/>
      <c r="D50" s="477"/>
    </row>
    <row r="51" spans="1:5">
      <c r="A51" s="514" t="s">
        <v>57</v>
      </c>
      <c r="B51" s="487"/>
      <c r="C51" s="517"/>
      <c r="D51" s="477"/>
    </row>
    <row r="52" spans="1:5">
      <c r="A52" s="514" t="s">
        <v>58</v>
      </c>
      <c r="B52" s="487"/>
      <c r="C52" s="517"/>
      <c r="D52" s="477"/>
    </row>
    <row r="53" spans="1:5">
      <c r="A53" s="514" t="s">
        <v>59</v>
      </c>
      <c r="B53" s="487"/>
      <c r="C53" s="517"/>
      <c r="D53" s="477"/>
    </row>
    <row r="54" spans="1:5" ht="15.75">
      <c r="A54" s="515" t="s">
        <v>60</v>
      </c>
      <c r="B54" s="492">
        <f>B49+B50</f>
        <v>0</v>
      </c>
      <c r="C54" s="518"/>
      <c r="D54" s="477"/>
    </row>
    <row r="55" spans="1:5">
      <c r="A55" s="519" t="s">
        <v>61</v>
      </c>
      <c r="B55" s="407">
        <f>3.051*(B12+B11)</f>
        <v>45012.318299999999</v>
      </c>
      <c r="C55" s="539" t="s">
        <v>620</v>
      </c>
      <c r="D55" s="477"/>
    </row>
    <row r="56" spans="1:5">
      <c r="A56" s="520" t="s">
        <v>62</v>
      </c>
      <c r="B56" s="407">
        <f>1.54*(B11+B12)</f>
        <v>22720.081999999999</v>
      </c>
      <c r="C56" s="540" t="s">
        <v>621</v>
      </c>
      <c r="D56" s="477"/>
    </row>
    <row r="57" spans="1:5">
      <c r="A57" s="488" t="s">
        <v>63</v>
      </c>
      <c r="B57" s="440">
        <f>(B41+B47)*0.348</f>
        <v>619186.46567549033</v>
      </c>
      <c r="C57" s="381" t="s">
        <v>514</v>
      </c>
      <c r="D57" s="477"/>
    </row>
    <row r="58" spans="1:5" ht="25.5">
      <c r="A58" s="488" t="s">
        <v>121</v>
      </c>
      <c r="B58" s="487">
        <f>(B41+B47+B54+B57)*0.132</f>
        <v>316596.44527710933</v>
      </c>
      <c r="C58" s="517" t="s">
        <v>503</v>
      </c>
      <c r="D58" s="477" t="s">
        <v>85</v>
      </c>
    </row>
    <row r="59" spans="1:5" ht="15.75">
      <c r="A59" s="441" t="s">
        <v>122</v>
      </c>
      <c r="B59" s="492">
        <f>B55+B56+B57+B58</f>
        <v>1003515.3112525996</v>
      </c>
      <c r="C59" s="518"/>
      <c r="D59" s="477"/>
    </row>
    <row r="60" spans="1:5">
      <c r="A60" s="488" t="s">
        <v>64</v>
      </c>
      <c r="B60" s="487">
        <f>(B41+B47+B54+B59)*3%</f>
        <v>83483.602930292676</v>
      </c>
      <c r="C60" s="517"/>
      <c r="D60" s="477"/>
    </row>
    <row r="61" spans="1:5" ht="15.75">
      <c r="A61" s="522" t="s">
        <v>26</v>
      </c>
      <c r="B61" s="537">
        <f>B41+B47+B54+B59+B60</f>
        <v>2866270.3672733819</v>
      </c>
      <c r="C61" s="524"/>
      <c r="D61" s="477"/>
    </row>
    <row r="62" spans="1:5" ht="15.75">
      <c r="A62" s="522" t="s">
        <v>65</v>
      </c>
      <c r="B62" s="537">
        <f>B61*1.2</f>
        <v>3439524.4407280581</v>
      </c>
      <c r="C62" s="524"/>
      <c r="D62" s="477"/>
    </row>
    <row r="63" spans="1:5" ht="15.75">
      <c r="A63" s="525"/>
      <c r="B63" s="492">
        <f>B26-B62</f>
        <v>276415.3352719415</v>
      </c>
      <c r="C63" s="526"/>
      <c r="D63" s="477"/>
    </row>
    <row r="64" spans="1:5" ht="30">
      <c r="A64" s="527" t="s">
        <v>123</v>
      </c>
      <c r="B64" s="528">
        <f>B62/(B11+B12)/12</f>
        <v>19.427994870797598</v>
      </c>
      <c r="C64" s="529" t="s">
        <v>540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7:D7"/>
    <mergeCell ref="A8:D9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1"/>
  <sheetViews>
    <sheetView topLeftCell="A46" workbookViewId="0">
      <selection activeCell="E55" sqref="E55"/>
    </sheetView>
  </sheetViews>
  <sheetFormatPr defaultColWidth="9.140625" defaultRowHeight="15"/>
  <cols>
    <col min="1" max="1" width="3" style="58" customWidth="1"/>
    <col min="2" max="2" width="44.7109375" style="66" customWidth="1"/>
    <col min="3" max="3" width="14.5703125" style="66" customWidth="1"/>
    <col min="4" max="4" width="33.42578125" style="66" customWidth="1"/>
    <col min="5" max="5" width="17.7109375" style="67" customWidth="1"/>
    <col min="6" max="6" width="4.28515625" style="58" customWidth="1"/>
    <col min="7" max="7" width="10.42578125" style="58" customWidth="1"/>
    <col min="8" max="8" width="9.140625" style="58"/>
    <col min="9" max="9" width="14.28515625" style="58" customWidth="1"/>
    <col min="10" max="16384" width="9.140625" style="58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23.14</v>
      </c>
      <c r="K5" s="141" t="s">
        <v>133</v>
      </c>
    </row>
    <row r="6" spans="2:11" ht="15.75">
      <c r="D6" s="163"/>
      <c r="E6" s="65"/>
      <c r="I6" s="140" t="s">
        <v>134</v>
      </c>
      <c r="J6" s="140"/>
      <c r="K6" s="141"/>
    </row>
    <row r="7" spans="2:11" ht="15.75">
      <c r="D7" s="163" t="s">
        <v>217</v>
      </c>
      <c r="E7" s="65"/>
      <c r="I7" s="140" t="s">
        <v>135</v>
      </c>
      <c r="J7" s="140">
        <v>207</v>
      </c>
      <c r="K7" s="141"/>
    </row>
    <row r="8" spans="2:11" ht="15.75">
      <c r="D8" s="70"/>
      <c r="I8" s="140" t="s">
        <v>136</v>
      </c>
      <c r="J8" s="212">
        <v>604</v>
      </c>
      <c r="K8" s="141"/>
    </row>
    <row r="9" spans="2:11" ht="15.75">
      <c r="D9" s="70"/>
      <c r="I9" s="142" t="s">
        <v>137</v>
      </c>
      <c r="J9" s="140">
        <v>33616</v>
      </c>
      <c r="K9" s="141"/>
    </row>
    <row r="10" spans="2:11" ht="30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101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2</v>
      </c>
      <c r="K12" s="141"/>
    </row>
    <row r="13" spans="2:11" ht="15.75">
      <c r="B13" s="73"/>
      <c r="C13" s="73"/>
      <c r="D13" s="73"/>
      <c r="I13" s="140" t="s">
        <v>141</v>
      </c>
      <c r="J13" s="140">
        <v>1</v>
      </c>
      <c r="K13" s="141"/>
    </row>
    <row r="14" spans="2:11" ht="15.75">
      <c r="B14" s="74" t="s">
        <v>2</v>
      </c>
      <c r="C14" s="75">
        <v>8011.8</v>
      </c>
      <c r="D14" s="76" t="s">
        <v>72</v>
      </c>
      <c r="I14" s="140" t="s">
        <v>142</v>
      </c>
      <c r="J14" s="140">
        <v>2581</v>
      </c>
      <c r="K14" s="141"/>
    </row>
    <row r="15" spans="2:11" s="59" customFormat="1" ht="15.75">
      <c r="B15" s="77" t="s">
        <v>3</v>
      </c>
      <c r="C15" s="78">
        <v>0</v>
      </c>
      <c r="D15" s="79"/>
      <c r="E15" s="80"/>
      <c r="I15" s="140" t="s">
        <v>143</v>
      </c>
      <c r="J15" s="59">
        <v>4553.8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1186.3593613513799</v>
      </c>
      <c r="K17" s="141"/>
    </row>
    <row r="18" spans="2:11">
      <c r="B18" s="85" t="s">
        <v>7</v>
      </c>
      <c r="C18" s="149">
        <f>C14*23.14*12</f>
        <v>2224716.6239999998</v>
      </c>
      <c r="D18" s="150" t="s">
        <v>233</v>
      </c>
      <c r="E18" s="86" t="s">
        <v>85</v>
      </c>
      <c r="I18" s="140" t="s">
        <v>146</v>
      </c>
      <c r="J18" s="140">
        <v>16.28</v>
      </c>
      <c r="K18" s="141"/>
    </row>
    <row r="19" spans="2:11" ht="38.25">
      <c r="B19" s="87" t="s">
        <v>8</v>
      </c>
      <c r="C19" s="214">
        <f>604*(211.42*6*1.45/12+226.93*6*1.45/12)*1.18</f>
        <v>226505.08869999999</v>
      </c>
      <c r="D19" s="215" t="s">
        <v>234</v>
      </c>
      <c r="E19" s="90"/>
      <c r="I19" s="140" t="s">
        <v>147</v>
      </c>
      <c r="J19" s="143">
        <v>1.22</v>
      </c>
      <c r="K19" s="144">
        <f>(J15/3+J14)/3358</f>
        <v>1.2206472106412547</v>
      </c>
    </row>
    <row r="20" spans="2:11">
      <c r="B20" s="91" t="s">
        <v>9</v>
      </c>
      <c r="C20" s="88">
        <f>C21</f>
        <v>0</v>
      </c>
      <c r="D20" s="89"/>
      <c r="E20" s="90"/>
      <c r="I20" s="145" t="s">
        <v>148</v>
      </c>
      <c r="J20" s="145">
        <v>1.44</v>
      </c>
      <c r="K20" s="144">
        <f>J7/144</f>
        <v>1.4375</v>
      </c>
    </row>
    <row r="21" spans="2:11">
      <c r="B21" s="68"/>
      <c r="C21" s="92"/>
      <c r="D21" s="93"/>
      <c r="E21" s="90"/>
      <c r="I21" s="146" t="s">
        <v>149</v>
      </c>
      <c r="J21" s="147"/>
      <c r="K21" s="144">
        <f>J30/1180</f>
        <v>0</v>
      </c>
    </row>
    <row r="22" spans="2:11">
      <c r="B22" s="94"/>
      <c r="C22" s="151"/>
      <c r="D22" s="152"/>
      <c r="E22" s="90"/>
      <c r="I22" s="58" t="s">
        <v>150</v>
      </c>
      <c r="J22" s="58">
        <v>1.45</v>
      </c>
      <c r="K22" s="141"/>
    </row>
    <row r="23" spans="2:11">
      <c r="B23" s="94"/>
      <c r="C23" s="153"/>
      <c r="D23" s="154"/>
      <c r="E23" s="90"/>
      <c r="I23" s="58" t="s">
        <v>151</v>
      </c>
      <c r="K23" s="141"/>
    </row>
    <row r="24" spans="2:11" ht="15.75">
      <c r="B24" s="95" t="s">
        <v>12</v>
      </c>
      <c r="C24" s="1">
        <f>C18+C20</f>
        <v>2224716.6239999998</v>
      </c>
      <c r="D24" s="96"/>
      <c r="E24" s="90"/>
      <c r="I24" s="141" t="s">
        <v>152</v>
      </c>
      <c r="J24" s="141"/>
      <c r="K24" s="144">
        <f>J24/820</f>
        <v>0</v>
      </c>
    </row>
    <row r="25" spans="2:11">
      <c r="B25" s="97" t="s">
        <v>13</v>
      </c>
      <c r="C25" s="1">
        <f>C26+C27+C28+C29+C30+C31+C32</f>
        <v>4770</v>
      </c>
      <c r="D25" s="96"/>
      <c r="E25" s="90"/>
      <c r="I25" s="58" t="s">
        <v>153</v>
      </c>
      <c r="J25" s="58" t="s">
        <v>176</v>
      </c>
      <c r="K25" s="141"/>
    </row>
    <row r="26" spans="2:11">
      <c r="B26" s="68" t="s">
        <v>14</v>
      </c>
      <c r="C26" s="1">
        <f>34.98*12*0</f>
        <v>0</v>
      </c>
      <c r="D26" s="96" t="s">
        <v>15</v>
      </c>
      <c r="E26" s="90"/>
    </row>
    <row r="27" spans="2:11">
      <c r="B27" s="68" t="s">
        <v>16</v>
      </c>
      <c r="C27" s="1">
        <f>137.5*12*0</f>
        <v>0</v>
      </c>
      <c r="D27" s="96" t="s">
        <v>17</v>
      </c>
      <c r="E27" s="90"/>
    </row>
    <row r="28" spans="2:11">
      <c r="B28" s="68" t="s">
        <v>18</v>
      </c>
      <c r="C28" s="1">
        <f>123.75*12</f>
        <v>1485</v>
      </c>
      <c r="D28" s="96" t="s">
        <v>19</v>
      </c>
      <c r="E28" s="90" t="s">
        <v>85</v>
      </c>
    </row>
    <row r="29" spans="2:11">
      <c r="B29" s="68" t="s">
        <v>20</v>
      </c>
      <c r="C29" s="1">
        <f>123.75*12</f>
        <v>1485</v>
      </c>
      <c r="D29" s="96" t="s">
        <v>19</v>
      </c>
      <c r="E29" s="90" t="s">
        <v>85</v>
      </c>
    </row>
    <row r="30" spans="2:11">
      <c r="B30" s="68" t="s">
        <v>66</v>
      </c>
      <c r="C30" s="1">
        <f>150*12</f>
        <v>1800</v>
      </c>
      <c r="D30" s="96" t="s">
        <v>21</v>
      </c>
      <c r="E30" s="90" t="s">
        <v>85</v>
      </c>
    </row>
    <row r="31" spans="2:11">
      <c r="B31" s="68" t="s">
        <v>22</v>
      </c>
      <c r="C31" s="1">
        <f>137.5*12*0</f>
        <v>0</v>
      </c>
      <c r="D31" s="96" t="s">
        <v>17</v>
      </c>
      <c r="E31" s="90"/>
    </row>
    <row r="32" spans="2:11">
      <c r="B32" s="68" t="s">
        <v>23</v>
      </c>
      <c r="C32" s="1">
        <f>150*12*0</f>
        <v>0</v>
      </c>
      <c r="D32" s="96" t="s">
        <v>21</v>
      </c>
      <c r="E32" s="90"/>
    </row>
    <row r="33" spans="2:8">
      <c r="B33" s="97" t="s">
        <v>24</v>
      </c>
      <c r="C33" s="1">
        <f>C34</f>
        <v>0</v>
      </c>
      <c r="D33" s="96"/>
      <c r="E33" s="90"/>
    </row>
    <row r="34" spans="2:8">
      <c r="B34" s="68"/>
      <c r="C34" s="1"/>
      <c r="D34" s="96"/>
      <c r="E34" s="90"/>
    </row>
    <row r="35" spans="2:8" ht="18.75">
      <c r="B35" s="98" t="s">
        <v>26</v>
      </c>
      <c r="C35" s="99">
        <f>C24+C25+C33</f>
        <v>2229486.6239999998</v>
      </c>
      <c r="D35" s="96"/>
      <c r="E35" s="90"/>
    </row>
    <row r="36" spans="2:8" ht="15.75">
      <c r="B36" s="82" t="s">
        <v>27</v>
      </c>
      <c r="C36" s="100" t="s">
        <v>5</v>
      </c>
      <c r="D36" s="101" t="s">
        <v>28</v>
      </c>
      <c r="E36" s="90"/>
    </row>
    <row r="37" spans="2:8" ht="15.75">
      <c r="B37" s="102" t="s">
        <v>29</v>
      </c>
      <c r="C37" s="88"/>
      <c r="D37" s="103"/>
      <c r="E37" s="90"/>
      <c r="H37" s="60"/>
    </row>
    <row r="38" spans="2:8" ht="51">
      <c r="B38" s="104" t="s">
        <v>30</v>
      </c>
      <c r="C38" s="218">
        <f>(1.22*(3565+200)*1.5*1.15*1.083*1.302*3)+(1.22*(3708+200)*1.5*1.15*1.083*1.302*9)+(0.1*2581*12)</f>
        <v>140987.27424189902</v>
      </c>
      <c r="D38" s="219" t="s">
        <v>235</v>
      </c>
      <c r="E38" s="90" t="s">
        <v>86</v>
      </c>
      <c r="H38" s="61"/>
    </row>
    <row r="39" spans="2:8" ht="15.75">
      <c r="B39" s="104" t="s">
        <v>31</v>
      </c>
      <c r="C39" s="187"/>
      <c r="D39" s="188"/>
      <c r="E39" s="90"/>
      <c r="H39" s="61"/>
    </row>
    <row r="40" spans="2:8" ht="38.25">
      <c r="B40" s="104" t="s">
        <v>32</v>
      </c>
      <c r="C40" s="228">
        <f>(1.44*9538.51*3)+(1.44*9921.13*9)+(207*11.48767*12)</f>
        <v>198319.58027999999</v>
      </c>
      <c r="D40" s="231" t="s">
        <v>236</v>
      </c>
      <c r="E40" s="90" t="s">
        <v>86</v>
      </c>
      <c r="H40" s="61"/>
    </row>
    <row r="41" spans="2:8" s="62" customFormat="1" ht="51">
      <c r="B41" s="104" t="s">
        <v>33</v>
      </c>
      <c r="C41" s="220">
        <f>604*(360.84*0.025*3+362.52*0.025*3+382.25*0.025*6)</f>
        <v>67400.058000000005</v>
      </c>
      <c r="D41" s="221" t="s">
        <v>237</v>
      </c>
      <c r="E41" s="86" t="s">
        <v>87</v>
      </c>
      <c r="H41" s="61"/>
    </row>
    <row r="42" spans="2:8" ht="15.75">
      <c r="B42" s="104" t="s">
        <v>34</v>
      </c>
      <c r="C42" s="222">
        <f>(16.86+17.53)*207</f>
        <v>7118.7300000000005</v>
      </c>
      <c r="D42" s="223" t="s">
        <v>238</v>
      </c>
      <c r="E42" s="90" t="s">
        <v>88</v>
      </c>
      <c r="H42" s="61"/>
    </row>
    <row r="43" spans="2:8" ht="36.75" customHeight="1">
      <c r="B43" s="104" t="s">
        <v>35</v>
      </c>
      <c r="C43" s="222">
        <f>(49.72+51.71)*2*0</f>
        <v>0</v>
      </c>
      <c r="D43" s="223" t="s">
        <v>220</v>
      </c>
      <c r="E43" s="90"/>
      <c r="H43" s="61"/>
    </row>
    <row r="44" spans="2:8" ht="15.75">
      <c r="B44" s="104" t="s">
        <v>36</v>
      </c>
      <c r="C44" s="164">
        <f>0.25*(1074+1*10)*12</f>
        <v>3252</v>
      </c>
      <c r="D44" s="150" t="s">
        <v>177</v>
      </c>
      <c r="E44" s="90" t="s">
        <v>85</v>
      </c>
      <c r="H44" s="61"/>
    </row>
    <row r="45" spans="2:8" ht="15.75">
      <c r="B45" s="106" t="s">
        <v>37</v>
      </c>
      <c r="C45" s="164">
        <f>2.34*(1074+1*10)*4</f>
        <v>10146.24</v>
      </c>
      <c r="D45" s="150" t="s">
        <v>178</v>
      </c>
      <c r="E45" s="90" t="s">
        <v>89</v>
      </c>
      <c r="H45" s="61"/>
    </row>
    <row r="46" spans="2:8" ht="25.5">
      <c r="B46" s="87" t="s">
        <v>38</v>
      </c>
      <c r="C46" s="3">
        <f>4190*2</f>
        <v>8380</v>
      </c>
      <c r="D46" s="71" t="s">
        <v>127</v>
      </c>
      <c r="E46" s="155" t="s">
        <v>159</v>
      </c>
      <c r="H46" s="61"/>
    </row>
    <row r="47" spans="2:8" ht="25.5">
      <c r="B47" s="107" t="s">
        <v>67</v>
      </c>
      <c r="C47" s="224">
        <f>(700.55*6+728.57*6)</f>
        <v>8574.7199999999993</v>
      </c>
      <c r="D47" s="225" t="s">
        <v>221</v>
      </c>
      <c r="E47" s="90" t="s">
        <v>85</v>
      </c>
      <c r="H47" s="61"/>
    </row>
    <row r="48" spans="2:8" ht="25.5">
      <c r="B48" s="87" t="s">
        <v>41</v>
      </c>
      <c r="C48" s="222">
        <f>((5338.98*1)+(3813.56*11))*2</f>
        <v>94576.28</v>
      </c>
      <c r="D48" s="232" t="s">
        <v>228</v>
      </c>
      <c r="E48" s="90" t="s">
        <v>85</v>
      </c>
      <c r="H48" s="61"/>
    </row>
    <row r="49" spans="2:8" ht="50.25" customHeight="1">
      <c r="B49" s="87" t="s">
        <v>45</v>
      </c>
      <c r="C49" s="227">
        <f>604*(211.42*6*1.45/12+226.93*6*1.45/12)</f>
        <v>191953.465</v>
      </c>
      <c r="D49" s="225" t="s">
        <v>239</v>
      </c>
      <c r="E49" s="90" t="s">
        <v>87</v>
      </c>
      <c r="H49" s="61"/>
    </row>
    <row r="50" spans="2:8" ht="25.5">
      <c r="B50" s="87" t="s">
        <v>46</v>
      </c>
      <c r="C50" s="224">
        <f>0*(232.8*6+243.11*6)</f>
        <v>0</v>
      </c>
      <c r="D50" s="228" t="s">
        <v>223</v>
      </c>
      <c r="E50" s="90"/>
      <c r="H50" s="61"/>
    </row>
    <row r="51" spans="2:8" ht="15.75">
      <c r="B51" s="108" t="s">
        <v>47</v>
      </c>
      <c r="C51" s="109">
        <f>C38+C39+C40+C41+C42+C43+C44+C45+C46+C47+C48+C49+C50</f>
        <v>730708.34752189892</v>
      </c>
      <c r="D51" s="110"/>
      <c r="E51" s="90"/>
    </row>
    <row r="52" spans="2:8">
      <c r="B52" s="104" t="s">
        <v>48</v>
      </c>
      <c r="C52" s="1"/>
      <c r="D52" s="96"/>
      <c r="E52" s="90"/>
    </row>
    <row r="53" spans="2:8" s="63" customFormat="1" ht="51">
      <c r="B53" s="112" t="s">
        <v>49</v>
      </c>
      <c r="C53" s="222">
        <f>(16.28*96.4189*3)+(16.28*100.2864*9)+(1.78*(C14+C15)*12)</f>
        <v>190535.11040400001</v>
      </c>
      <c r="D53" s="229" t="s">
        <v>240</v>
      </c>
      <c r="E53" s="113"/>
    </row>
    <row r="54" spans="2:8">
      <c r="B54" s="106" t="s">
        <v>50</v>
      </c>
      <c r="C54" s="1">
        <f>13.69*1411.8*0</f>
        <v>0</v>
      </c>
      <c r="D54" s="96" t="s">
        <v>241</v>
      </c>
      <c r="E54" s="90" t="s">
        <v>441</v>
      </c>
    </row>
    <row r="55" spans="2:8" ht="89.25">
      <c r="B55" s="114" t="s">
        <v>120</v>
      </c>
      <c r="C55" s="4">
        <f>17.51*(C14+C15)</f>
        <v>140286.61800000002</v>
      </c>
      <c r="D55" s="96" t="s">
        <v>242</v>
      </c>
      <c r="E55" s="90"/>
    </row>
    <row r="56" spans="2:8" ht="51">
      <c r="B56" s="104" t="s">
        <v>51</v>
      </c>
      <c r="C56" s="222">
        <f>(632.04+251.07/3)*33616/1000</f>
        <v>24059.97968</v>
      </c>
      <c r="D56" s="229" t="s">
        <v>243</v>
      </c>
      <c r="E56" s="115" t="s">
        <v>91</v>
      </c>
    </row>
    <row r="57" spans="2:8" ht="51">
      <c r="B57" s="116" t="s">
        <v>52</v>
      </c>
      <c r="C57" s="230">
        <f>((1186.36/12*3*96.4189)+(1186.36/12*9*100.2864))+((1186.36/12*3*96.4189)+(1186.36/12*9*100.2864))/1.302*25%</f>
        <v>140453.27229324731</v>
      </c>
      <c r="D57" s="229" t="s">
        <v>244</v>
      </c>
      <c r="E57" s="90"/>
    </row>
    <row r="58" spans="2:8" ht="15.75">
      <c r="B58" s="117" t="s">
        <v>53</v>
      </c>
      <c r="C58" s="109">
        <f>C53+C54+C55+C56+C57</f>
        <v>495334.98037724732</v>
      </c>
      <c r="D58" s="110"/>
      <c r="E58" s="90"/>
    </row>
    <row r="59" spans="2:8">
      <c r="B59" s="116" t="s">
        <v>54</v>
      </c>
      <c r="C59" s="1"/>
      <c r="D59" s="96"/>
      <c r="E59" s="90"/>
    </row>
    <row r="60" spans="2:8" s="62" customFormat="1" ht="12.75">
      <c r="B60" s="118" t="s">
        <v>55</v>
      </c>
      <c r="C60" s="2">
        <v>0</v>
      </c>
      <c r="D60" s="119"/>
      <c r="E60" s="86"/>
    </row>
    <row r="61" spans="2:8">
      <c r="B61" s="116" t="s">
        <v>56</v>
      </c>
      <c r="C61" s="88">
        <v>0</v>
      </c>
      <c r="D61" s="120"/>
      <c r="E61" s="90"/>
    </row>
    <row r="62" spans="2:8">
      <c r="B62" s="116" t="s">
        <v>57</v>
      </c>
      <c r="C62" s="88"/>
      <c r="D62" s="120"/>
      <c r="E62" s="90"/>
    </row>
    <row r="63" spans="2:8">
      <c r="B63" s="116" t="s">
        <v>58</v>
      </c>
      <c r="C63" s="88"/>
      <c r="D63" s="120"/>
      <c r="E63" s="90"/>
    </row>
    <row r="64" spans="2:8">
      <c r="B64" s="116" t="s">
        <v>59</v>
      </c>
      <c r="C64" s="88"/>
      <c r="D64" s="120"/>
      <c r="E64" s="90"/>
    </row>
    <row r="65" spans="2:8" ht="15.75">
      <c r="B65" s="117" t="s">
        <v>60</v>
      </c>
      <c r="C65" s="121">
        <f>C60+C61</f>
        <v>0</v>
      </c>
      <c r="D65" s="122"/>
      <c r="E65" s="90"/>
    </row>
    <row r="66" spans="2:8">
      <c r="B66" s="123" t="s">
        <v>61</v>
      </c>
      <c r="C66" s="88">
        <f>3.05*(C14+0)</f>
        <v>24435.989999999998</v>
      </c>
      <c r="D66" s="120" t="s">
        <v>245</v>
      </c>
      <c r="E66" s="90"/>
    </row>
    <row r="67" spans="2:8" ht="15.75">
      <c r="B67" s="124" t="s">
        <v>62</v>
      </c>
      <c r="C67" s="125">
        <f>1.49*(C14+0)</f>
        <v>11937.582</v>
      </c>
      <c r="D67" s="126" t="s">
        <v>454</v>
      </c>
      <c r="E67" s="90"/>
      <c r="H67" s="64"/>
    </row>
    <row r="68" spans="2:8">
      <c r="B68" s="68" t="s">
        <v>63</v>
      </c>
      <c r="C68" s="88">
        <f>(C51+C58)*0.341</f>
        <v>418080.77481360896</v>
      </c>
      <c r="D68" s="120" t="s">
        <v>224</v>
      </c>
      <c r="E68" s="90"/>
    </row>
    <row r="69" spans="2:8" ht="38.25">
      <c r="B69" s="68" t="s">
        <v>121</v>
      </c>
      <c r="C69" s="125">
        <f>(C51+C58+C68)*0.132</f>
        <v>217024.38155808373</v>
      </c>
      <c r="D69" s="69" t="s">
        <v>225</v>
      </c>
      <c r="E69" s="90" t="s">
        <v>85</v>
      </c>
    </row>
    <row r="70" spans="2:8" ht="15.75">
      <c r="B70" s="127" t="s">
        <v>122</v>
      </c>
      <c r="C70" s="121">
        <f>C66+C67+C68+C69</f>
        <v>671478.7283716927</v>
      </c>
      <c r="D70" s="122"/>
      <c r="E70" s="90"/>
    </row>
    <row r="71" spans="2:8">
      <c r="B71" s="68" t="s">
        <v>64</v>
      </c>
      <c r="C71" s="88">
        <f>(C51+C58+C65+C70)*3%</f>
        <v>56925.661688125176</v>
      </c>
      <c r="D71" s="120"/>
      <c r="E71" s="90"/>
    </row>
    <row r="72" spans="2:8" ht="15.75">
      <c r="B72" s="128" t="s">
        <v>26</v>
      </c>
      <c r="C72" s="129">
        <f>C51+C58+C65+C70+C71</f>
        <v>1954447.7179589644</v>
      </c>
      <c r="D72" s="130"/>
      <c r="E72" s="90"/>
    </row>
    <row r="73" spans="2:8" ht="15.75">
      <c r="B73" s="128" t="s">
        <v>65</v>
      </c>
      <c r="C73" s="129">
        <f>C72*1.18</f>
        <v>2306248.3071915777</v>
      </c>
      <c r="D73" s="130"/>
      <c r="E73" s="90"/>
    </row>
    <row r="74" spans="2:8" ht="15.75">
      <c r="B74" s="131"/>
      <c r="C74" s="132">
        <f>C35-C73</f>
        <v>-76761.683191577904</v>
      </c>
      <c r="D74" s="133"/>
      <c r="E74" s="90"/>
    </row>
    <row r="75" spans="2:8" ht="30">
      <c r="B75" s="134" t="s">
        <v>123</v>
      </c>
      <c r="C75" s="135">
        <f>C73/(C14+C15)/12</f>
        <v>23.988037511249843</v>
      </c>
      <c r="D75" s="136" t="s">
        <v>207</v>
      </c>
      <c r="E75" s="137"/>
    </row>
    <row r="76" spans="2:8">
      <c r="B76" s="138"/>
      <c r="E76" s="138"/>
    </row>
    <row r="77" spans="2:8" ht="15" customHeight="1">
      <c r="B77" s="802" t="s">
        <v>124</v>
      </c>
      <c r="C77" s="802"/>
      <c r="D77" s="802"/>
      <c r="E77" s="138"/>
    </row>
    <row r="78" spans="2:8" ht="36.75" customHeight="1">
      <c r="B78" s="803" t="s">
        <v>226</v>
      </c>
      <c r="C78" s="803"/>
      <c r="D78" s="803"/>
      <c r="E78" s="803"/>
    </row>
    <row r="79" spans="2:8" ht="37.5" customHeight="1">
      <c r="B79" s="803" t="s">
        <v>227</v>
      </c>
      <c r="C79" s="803"/>
      <c r="D79" s="803"/>
      <c r="E79" s="803"/>
    </row>
    <row r="80" spans="2:8" ht="24" customHeight="1">
      <c r="B80" s="157"/>
      <c r="C80" s="158"/>
      <c r="D80" s="159"/>
      <c r="E80" s="138"/>
    </row>
    <row r="81" spans="2:5">
      <c r="B81" s="160"/>
      <c r="C81" s="161"/>
      <c r="D81" s="162"/>
      <c r="E81" s="138"/>
    </row>
    <row r="82" spans="2:5">
      <c r="B82" s="797" t="s">
        <v>188</v>
      </c>
      <c r="C82" s="797"/>
      <c r="D82" s="797"/>
      <c r="E82" s="138"/>
    </row>
    <row r="83" spans="2:5">
      <c r="B83" s="797"/>
      <c r="C83" s="797"/>
      <c r="D83" s="797"/>
    </row>
    <row r="85" spans="2:5" ht="18.75">
      <c r="B85" s="170"/>
      <c r="C85" s="170"/>
      <c r="D85" s="170"/>
    </row>
    <row r="94" spans="2:5" s="65" customFormat="1">
      <c r="B94" s="66"/>
      <c r="C94" s="66"/>
      <c r="D94" s="66"/>
      <c r="E94" s="67"/>
    </row>
    <row r="95" spans="2:5" s="65" customFormat="1">
      <c r="B95" s="66"/>
      <c r="C95" s="66"/>
      <c r="D95" s="66"/>
      <c r="E95" s="67"/>
    </row>
    <row r="96" spans="2:5" s="65" customFormat="1">
      <c r="B96" s="66"/>
      <c r="C96" s="66"/>
      <c r="D96" s="66"/>
      <c r="E96" s="67"/>
    </row>
    <row r="97" spans="2:5" s="65" customFormat="1">
      <c r="B97" s="66"/>
      <c r="C97" s="66"/>
      <c r="D97" s="66"/>
      <c r="E97" s="67"/>
    </row>
    <row r="98" spans="2:5" s="65" customFormat="1">
      <c r="B98" s="66"/>
      <c r="C98" s="66"/>
      <c r="D98" s="66"/>
      <c r="E98" s="67"/>
    </row>
    <row r="99" spans="2:5" s="65" customFormat="1">
      <c r="B99" s="66"/>
      <c r="C99" s="66"/>
      <c r="D99" s="66"/>
      <c r="E99" s="67"/>
    </row>
    <row r="100" spans="2:5" s="65" customFormat="1">
      <c r="B100" s="66"/>
      <c r="C100" s="66"/>
      <c r="D100" s="66"/>
      <c r="E100" s="67"/>
    </row>
    <row r="101" spans="2:5" s="65" customFormat="1">
      <c r="B101" s="66"/>
      <c r="C101" s="66"/>
      <c r="D101" s="66"/>
      <c r="E101" s="67"/>
    </row>
  </sheetData>
  <mergeCells count="7">
    <mergeCell ref="B83:D83"/>
    <mergeCell ref="B77:D77"/>
    <mergeCell ref="B10:E10"/>
    <mergeCell ref="B11:E12"/>
    <mergeCell ref="B82:D82"/>
    <mergeCell ref="B78:E78"/>
    <mergeCell ref="B79:E79"/>
  </mergeCells>
  <pageMargins left="0.43" right="0.36" top="0.33" bottom="0.74803149606299213" header="0.31496062992125984" footer="0.31496062992125984"/>
  <pageSetup paperSize="9" scale="85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7"/>
  <sheetViews>
    <sheetView topLeftCell="A55" workbookViewId="0">
      <selection activeCell="E61" sqref="E61"/>
    </sheetView>
  </sheetViews>
  <sheetFormatPr defaultColWidth="9.140625" defaultRowHeight="15"/>
  <cols>
    <col min="1" max="1" width="2.85546875" style="58" customWidth="1"/>
    <col min="2" max="2" width="44.7109375" style="66" customWidth="1"/>
    <col min="3" max="3" width="14.5703125" style="66" customWidth="1"/>
    <col min="4" max="4" width="35.7109375" style="66" customWidth="1"/>
    <col min="5" max="5" width="18.140625" style="67" customWidth="1"/>
    <col min="6" max="6" width="5.140625" style="58" customWidth="1"/>
    <col min="7" max="7" width="5.7109375" style="58" customWidth="1"/>
    <col min="8" max="8" width="9.140625" style="58"/>
    <col min="9" max="9" width="20.28515625" style="58" customWidth="1"/>
    <col min="10" max="16384" width="9.140625" style="58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22.06</v>
      </c>
      <c r="K5" s="141" t="s">
        <v>133</v>
      </c>
    </row>
    <row r="6" spans="2:11" ht="15.75">
      <c r="D6" s="163"/>
      <c r="E6" s="65"/>
      <c r="I6" s="140" t="s">
        <v>134</v>
      </c>
      <c r="J6" s="140">
        <v>7503</v>
      </c>
      <c r="K6" s="141"/>
    </row>
    <row r="7" spans="2:11" ht="15.75">
      <c r="D7" s="163" t="s">
        <v>217</v>
      </c>
      <c r="E7" s="65"/>
      <c r="I7" s="140" t="s">
        <v>135</v>
      </c>
      <c r="J7" s="140">
        <v>186</v>
      </c>
      <c r="K7" s="141"/>
    </row>
    <row r="8" spans="2:11" ht="15.75">
      <c r="D8" s="70"/>
      <c r="I8" s="140" t="s">
        <v>136</v>
      </c>
      <c r="J8" s="212">
        <v>581</v>
      </c>
      <c r="K8" s="141"/>
    </row>
    <row r="9" spans="2:11" ht="15.75">
      <c r="D9" s="70"/>
      <c r="I9" s="142" t="s">
        <v>137</v>
      </c>
      <c r="J9" s="140">
        <v>30338</v>
      </c>
      <c r="K9" s="141"/>
    </row>
    <row r="10" spans="2:11" ht="30" customHeight="1">
      <c r="B10" s="798" t="s">
        <v>218</v>
      </c>
      <c r="C10" s="798"/>
      <c r="D10" s="798"/>
      <c r="E10" s="798"/>
      <c r="I10" s="140" t="s">
        <v>138</v>
      </c>
      <c r="J10" s="140">
        <v>1032</v>
      </c>
      <c r="K10" s="141"/>
    </row>
    <row r="11" spans="2:11" ht="15" customHeight="1">
      <c r="B11" s="798" t="s">
        <v>102</v>
      </c>
      <c r="C11" s="798"/>
      <c r="D11" s="798"/>
      <c r="E11" s="798"/>
      <c r="I11" s="140" t="s">
        <v>139</v>
      </c>
      <c r="J11" s="140">
        <v>1228</v>
      </c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2</v>
      </c>
      <c r="K12" s="141"/>
    </row>
    <row r="13" spans="2:11" ht="15.75">
      <c r="B13" s="73"/>
      <c r="C13" s="73"/>
      <c r="D13" s="73"/>
      <c r="I13" s="140" t="s">
        <v>141</v>
      </c>
      <c r="J13" s="140">
        <v>1</v>
      </c>
      <c r="K13" s="141"/>
    </row>
    <row r="14" spans="2:11" ht="15.75">
      <c r="B14" s="74" t="s">
        <v>2</v>
      </c>
      <c r="C14" s="75">
        <v>7514.55</v>
      </c>
      <c r="D14" s="76" t="s">
        <v>72</v>
      </c>
      <c r="I14" s="140" t="s">
        <v>142</v>
      </c>
      <c r="J14" s="140">
        <v>1565.7</v>
      </c>
      <c r="K14" s="141"/>
    </row>
    <row r="15" spans="2:11" s="59" customFormat="1" ht="15.75">
      <c r="B15" s="77" t="s">
        <v>3</v>
      </c>
      <c r="C15" s="78">
        <f>42+15.9+27.9</f>
        <v>85.8</v>
      </c>
      <c r="D15" s="79"/>
      <c r="E15" s="80"/>
      <c r="I15" s="140" t="s">
        <v>143</v>
      </c>
      <c r="J15" s="59">
        <v>6216.3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179" t="s">
        <v>4</v>
      </c>
      <c r="C17" s="180" t="s">
        <v>5</v>
      </c>
      <c r="D17" s="180" t="s">
        <v>6</v>
      </c>
      <c r="E17" s="84" t="s">
        <v>84</v>
      </c>
      <c r="I17" s="140" t="s">
        <v>145</v>
      </c>
      <c r="J17" s="213">
        <v>1091.4103023842199</v>
      </c>
      <c r="K17" s="141"/>
    </row>
    <row r="18" spans="2:11">
      <c r="B18" s="181" t="s">
        <v>7</v>
      </c>
      <c r="C18" s="149">
        <f>C14*22.06*12</f>
        <v>1989251.676</v>
      </c>
      <c r="D18" s="150" t="s">
        <v>351</v>
      </c>
      <c r="E18" s="86" t="s">
        <v>85</v>
      </c>
      <c r="I18" s="140" t="s">
        <v>146</v>
      </c>
      <c r="J18" s="140">
        <v>15.78</v>
      </c>
      <c r="K18" s="141"/>
    </row>
    <row r="19" spans="2:11" ht="38.25">
      <c r="B19" s="182" t="s">
        <v>8</v>
      </c>
      <c r="C19" s="214">
        <f>581*(211.42*6*1/12+226.93*6*1/12)*1.18</f>
        <v>150261.99649999998</v>
      </c>
      <c r="D19" s="215" t="s">
        <v>352</v>
      </c>
      <c r="E19" s="90"/>
      <c r="I19" s="140" t="s">
        <v>147</v>
      </c>
      <c r="J19" s="143">
        <v>1.08</v>
      </c>
      <c r="K19" s="144">
        <f>(J15/3+J14)/3358</f>
        <v>1.0833234067897559</v>
      </c>
    </row>
    <row r="20" spans="2:11">
      <c r="B20" s="91" t="s">
        <v>9</v>
      </c>
      <c r="C20" s="172">
        <f>C21+C24+C27</f>
        <v>23165.896248000001</v>
      </c>
      <c r="D20" s="93"/>
      <c r="E20" s="173"/>
      <c r="I20" s="145" t="s">
        <v>148</v>
      </c>
      <c r="J20" s="145">
        <v>1.28</v>
      </c>
      <c r="K20" s="144">
        <f>J7/144</f>
        <v>1.2916666666666667</v>
      </c>
    </row>
    <row r="21" spans="2:11">
      <c r="B21" s="68" t="s">
        <v>79</v>
      </c>
      <c r="C21" s="92">
        <f>C22+C23</f>
        <v>12239.331252</v>
      </c>
      <c r="D21" s="93"/>
      <c r="E21" s="90"/>
      <c r="I21" s="146" t="s">
        <v>149</v>
      </c>
      <c r="J21" s="147"/>
      <c r="K21" s="144">
        <f>J33/1180</f>
        <v>0</v>
      </c>
    </row>
    <row r="22" spans="2:11">
      <c r="B22" s="94" t="s">
        <v>10</v>
      </c>
      <c r="C22" s="167">
        <f>42*20.34*12</f>
        <v>10251.36</v>
      </c>
      <c r="D22" s="208" t="s">
        <v>353</v>
      </c>
      <c r="E22" s="90" t="s">
        <v>85</v>
      </c>
      <c r="I22" s="58" t="s">
        <v>150</v>
      </c>
      <c r="J22" s="58">
        <v>1</v>
      </c>
      <c r="K22" s="141"/>
    </row>
    <row r="23" spans="2:11" ht="25.5">
      <c r="B23" s="94" t="s">
        <v>11</v>
      </c>
      <c r="C23" s="216">
        <f>0.59*(232.8*1.18*6+243.11*1.18*6)</f>
        <v>1987.971252</v>
      </c>
      <c r="D23" s="217" t="s">
        <v>354</v>
      </c>
      <c r="E23" s="90" t="s">
        <v>85</v>
      </c>
      <c r="I23" s="58" t="s">
        <v>151</v>
      </c>
      <c r="K23" s="141"/>
    </row>
    <row r="24" spans="2:11" ht="25.5">
      <c r="B24" s="68" t="s">
        <v>355</v>
      </c>
      <c r="C24" s="92">
        <f>C25+C26</f>
        <v>3880.8720000000003</v>
      </c>
      <c r="D24" s="93"/>
      <c r="E24" s="90"/>
      <c r="I24" s="141" t="s">
        <v>152</v>
      </c>
      <c r="J24" s="141"/>
      <c r="K24" s="144">
        <f>J24/820</f>
        <v>0</v>
      </c>
    </row>
    <row r="25" spans="2:11">
      <c r="B25" s="94" t="s">
        <v>10</v>
      </c>
      <c r="C25" s="167">
        <f>15.9*20.34*12</f>
        <v>3880.8720000000003</v>
      </c>
      <c r="D25" s="208" t="s">
        <v>356</v>
      </c>
      <c r="E25" s="90" t="s">
        <v>85</v>
      </c>
      <c r="I25" s="58" t="s">
        <v>153</v>
      </c>
      <c r="J25" s="58" t="s">
        <v>154</v>
      </c>
      <c r="K25" s="141"/>
    </row>
    <row r="26" spans="2:11" ht="25.5">
      <c r="B26" s="94" t="s">
        <v>11</v>
      </c>
      <c r="C26" s="216">
        <f>0*(232.8*1.18*6+243.11*1.18*6)</f>
        <v>0</v>
      </c>
      <c r="D26" s="217" t="s">
        <v>219</v>
      </c>
      <c r="E26" s="90" t="s">
        <v>85</v>
      </c>
    </row>
    <row r="27" spans="2:11">
      <c r="B27" s="68" t="s">
        <v>208</v>
      </c>
      <c r="C27" s="92">
        <f>C28+C29</f>
        <v>7045.6929960000007</v>
      </c>
      <c r="D27" s="93"/>
      <c r="E27" s="90"/>
      <c r="I27" s="141" t="s">
        <v>152</v>
      </c>
      <c r="J27" s="141"/>
      <c r="K27" s="144">
        <f>J27/820</f>
        <v>0</v>
      </c>
    </row>
    <row r="28" spans="2:11">
      <c r="B28" s="94" t="s">
        <v>10</v>
      </c>
      <c r="C28" s="167">
        <f>27.9*20.34*12</f>
        <v>6809.8320000000003</v>
      </c>
      <c r="D28" s="208" t="s">
        <v>357</v>
      </c>
      <c r="E28" s="90" t="s">
        <v>85</v>
      </c>
      <c r="I28" s="58" t="s">
        <v>153</v>
      </c>
      <c r="J28" s="58" t="s">
        <v>154</v>
      </c>
      <c r="K28" s="141"/>
    </row>
    <row r="29" spans="2:11" ht="25.5">
      <c r="B29" s="94" t="s">
        <v>11</v>
      </c>
      <c r="C29" s="216">
        <f>0.07*(232.8*1.18*6+243.11*1.18*6)</f>
        <v>235.86099600000003</v>
      </c>
      <c r="D29" s="217" t="s">
        <v>358</v>
      </c>
      <c r="E29" s="90" t="s">
        <v>85</v>
      </c>
    </row>
    <row r="30" spans="2:11" ht="15.75">
      <c r="B30" s="95" t="s">
        <v>12</v>
      </c>
      <c r="C30" s="1">
        <f>C18+C20</f>
        <v>2012417.572248</v>
      </c>
      <c r="D30" s="96"/>
      <c r="E30" s="90"/>
    </row>
    <row r="31" spans="2:11">
      <c r="B31" s="97" t="s">
        <v>13</v>
      </c>
      <c r="C31" s="1">
        <f>C32+C33+C34+C35+C36+C37+C38</f>
        <v>5189.76</v>
      </c>
      <c r="D31" s="96"/>
      <c r="E31" s="90"/>
    </row>
    <row r="32" spans="2:11">
      <c r="B32" s="68" t="s">
        <v>14</v>
      </c>
      <c r="C32" s="1">
        <f>34.98*12</f>
        <v>419.76</v>
      </c>
      <c r="D32" s="96" t="s">
        <v>15</v>
      </c>
      <c r="E32" s="90" t="s">
        <v>85</v>
      </c>
    </row>
    <row r="33" spans="2:8">
      <c r="B33" s="68" t="s">
        <v>16</v>
      </c>
      <c r="C33" s="1">
        <f>137.5*12*0</f>
        <v>0</v>
      </c>
      <c r="D33" s="96" t="s">
        <v>17</v>
      </c>
      <c r="E33" s="90"/>
    </row>
    <row r="34" spans="2:8">
      <c r="B34" s="68" t="s">
        <v>18</v>
      </c>
      <c r="C34" s="1">
        <f>123.75*12</f>
        <v>1485</v>
      </c>
      <c r="D34" s="96" t="s">
        <v>19</v>
      </c>
      <c r="E34" s="90" t="s">
        <v>85</v>
      </c>
    </row>
    <row r="35" spans="2:8">
      <c r="B35" s="68" t="s">
        <v>20</v>
      </c>
      <c r="C35" s="1">
        <f>123.75*12</f>
        <v>1485</v>
      </c>
      <c r="D35" s="96" t="s">
        <v>19</v>
      </c>
      <c r="E35" s="90" t="s">
        <v>85</v>
      </c>
    </row>
    <row r="36" spans="2:8">
      <c r="B36" s="68" t="s">
        <v>66</v>
      </c>
      <c r="C36" s="1">
        <f>150*12</f>
        <v>1800</v>
      </c>
      <c r="D36" s="96" t="s">
        <v>21</v>
      </c>
      <c r="E36" s="90" t="s">
        <v>85</v>
      </c>
    </row>
    <row r="37" spans="2:8">
      <c r="B37" s="68" t="s">
        <v>22</v>
      </c>
      <c r="C37" s="1">
        <f>137.5*12*0</f>
        <v>0</v>
      </c>
      <c r="D37" s="96" t="s">
        <v>17</v>
      </c>
      <c r="E37" s="90"/>
    </row>
    <row r="38" spans="2:8">
      <c r="B38" s="68" t="s">
        <v>23</v>
      </c>
      <c r="C38" s="1">
        <f>150*12*0</f>
        <v>0</v>
      </c>
      <c r="D38" s="96" t="s">
        <v>21</v>
      </c>
      <c r="E38" s="90"/>
    </row>
    <row r="39" spans="2:8">
      <c r="B39" s="97" t="s">
        <v>24</v>
      </c>
      <c r="C39" s="1">
        <f>C40</f>
        <v>0</v>
      </c>
      <c r="D39" s="96"/>
      <c r="E39" s="90"/>
    </row>
    <row r="40" spans="2:8">
      <c r="B40" s="68"/>
      <c r="C40" s="1"/>
      <c r="D40" s="96"/>
      <c r="E40" s="90"/>
    </row>
    <row r="41" spans="2:8" ht="18.75">
      <c r="B41" s="98" t="s">
        <v>26</v>
      </c>
      <c r="C41" s="99">
        <f>C30+C31+C39</f>
        <v>2017607.332248</v>
      </c>
      <c r="D41" s="96"/>
      <c r="E41" s="90"/>
    </row>
    <row r="42" spans="2:8" ht="15.75">
      <c r="B42" s="82" t="s">
        <v>27</v>
      </c>
      <c r="C42" s="100" t="s">
        <v>5</v>
      </c>
      <c r="D42" s="101" t="s">
        <v>28</v>
      </c>
      <c r="E42" s="90"/>
    </row>
    <row r="43" spans="2:8" ht="15.75">
      <c r="B43" s="102" t="s">
        <v>29</v>
      </c>
      <c r="C43" s="88"/>
      <c r="D43" s="103"/>
      <c r="E43" s="90"/>
      <c r="H43" s="60"/>
    </row>
    <row r="44" spans="2:8" ht="51">
      <c r="B44" s="104" t="s">
        <v>30</v>
      </c>
      <c r="C44" s="218">
        <f>(1.08*(3565+200)*1.5*1.15*1.083*1.302*3)+(1.08*(3708+200)*1.5*1.15*1.083*1.302*9)+(0.1*1565.7*12)</f>
        <v>123945.463099386</v>
      </c>
      <c r="D44" s="219" t="s">
        <v>359</v>
      </c>
      <c r="E44" s="90" t="s">
        <v>86</v>
      </c>
      <c r="H44" s="61"/>
    </row>
    <row r="45" spans="2:8" ht="15.75">
      <c r="B45" s="104" t="s">
        <v>31</v>
      </c>
      <c r="C45" s="187"/>
      <c r="D45" s="188"/>
      <c r="E45" s="90"/>
      <c r="H45" s="61"/>
    </row>
    <row r="46" spans="2:8" ht="38.25">
      <c r="B46" s="104" t="s">
        <v>32</v>
      </c>
      <c r="C46" s="228">
        <f>(1.29*9538.51*3)+(1.29*9921.13*9)+(186*11.48767*12)</f>
        <v>177738.83244</v>
      </c>
      <c r="D46" s="231" t="s">
        <v>360</v>
      </c>
      <c r="E46" s="90" t="s">
        <v>86</v>
      </c>
      <c r="H46" s="61"/>
    </row>
    <row r="47" spans="2:8" s="62" customFormat="1" ht="38.25">
      <c r="B47" s="104" t="s">
        <v>33</v>
      </c>
      <c r="C47" s="220">
        <f>581*(360.84*0.025*3+362.52*0.025*3+382.25*0.025*6)</f>
        <v>64833.499499999998</v>
      </c>
      <c r="D47" s="221" t="s">
        <v>361</v>
      </c>
      <c r="E47" s="86" t="s">
        <v>87</v>
      </c>
      <c r="H47" s="61"/>
    </row>
    <row r="48" spans="2:8" ht="15.75">
      <c r="B48" s="106" t="s">
        <v>34</v>
      </c>
      <c r="C48" s="222">
        <f>(16.86+17.53)*186</f>
        <v>6396.54</v>
      </c>
      <c r="D48" s="223" t="s">
        <v>362</v>
      </c>
      <c r="E48" s="171" t="s">
        <v>88</v>
      </c>
      <c r="H48" s="61"/>
    </row>
    <row r="49" spans="2:8" ht="36.75" customHeight="1">
      <c r="B49" s="115" t="s">
        <v>35</v>
      </c>
      <c r="C49" s="222">
        <f>(49.72+51.71)*2*0</f>
        <v>0</v>
      </c>
      <c r="D49" s="223" t="s">
        <v>220</v>
      </c>
      <c r="E49" s="90"/>
      <c r="H49" s="61"/>
    </row>
    <row r="50" spans="2:8" ht="15.75">
      <c r="B50" s="115" t="s">
        <v>36</v>
      </c>
      <c r="C50" s="164">
        <f>0.25*(1032+1*10)*12</f>
        <v>3126</v>
      </c>
      <c r="D50" s="150" t="s">
        <v>155</v>
      </c>
      <c r="E50" s="90" t="s">
        <v>85</v>
      </c>
      <c r="H50" s="61"/>
    </row>
    <row r="51" spans="2:8" ht="15.75">
      <c r="B51" s="115" t="s">
        <v>37</v>
      </c>
      <c r="C51" s="164">
        <f>2.34*(1032+1*10)*4</f>
        <v>9753.119999999999</v>
      </c>
      <c r="D51" s="150" t="s">
        <v>156</v>
      </c>
      <c r="E51" s="90" t="s">
        <v>89</v>
      </c>
      <c r="H51" s="61"/>
    </row>
    <row r="52" spans="2:8" ht="25.5">
      <c r="B52" s="115" t="s">
        <v>67</v>
      </c>
      <c r="C52" s="224">
        <f>(700.55*6+728.57*6)</f>
        <v>8574.7199999999993</v>
      </c>
      <c r="D52" s="225" t="s">
        <v>221</v>
      </c>
      <c r="E52" s="90" t="s">
        <v>85</v>
      </c>
      <c r="H52" s="61"/>
    </row>
    <row r="53" spans="2:8" ht="25.5">
      <c r="B53" s="115" t="s">
        <v>41</v>
      </c>
      <c r="C53" s="222">
        <f>((5338.98*1)+(3813.56*11))*2</f>
        <v>94576.28</v>
      </c>
      <c r="D53" s="232" t="s">
        <v>228</v>
      </c>
      <c r="E53" s="90" t="s">
        <v>85</v>
      </c>
      <c r="H53" s="61"/>
    </row>
    <row r="54" spans="2:8" ht="25.5">
      <c r="B54" s="115" t="s">
        <v>209</v>
      </c>
      <c r="C54" s="165">
        <f>4190*2</f>
        <v>8380</v>
      </c>
      <c r="D54" s="174" t="s">
        <v>127</v>
      </c>
      <c r="E54" s="90" t="s">
        <v>94</v>
      </c>
      <c r="H54" s="61"/>
    </row>
    <row r="55" spans="2:8" ht="50.25" customHeight="1">
      <c r="B55" s="115" t="s">
        <v>45</v>
      </c>
      <c r="C55" s="227">
        <f>581*(211.42*6*1/12+226.93*6*1/12)</f>
        <v>127340.67499999999</v>
      </c>
      <c r="D55" s="225" t="s">
        <v>363</v>
      </c>
      <c r="E55" s="90" t="s">
        <v>87</v>
      </c>
      <c r="H55" s="61"/>
    </row>
    <row r="56" spans="2:8" ht="25.5">
      <c r="B56" s="115" t="s">
        <v>46</v>
      </c>
      <c r="C56" s="224">
        <f>0.66*(232.8*6+243.11*6)</f>
        <v>1884.6036000000001</v>
      </c>
      <c r="D56" s="228" t="s">
        <v>364</v>
      </c>
      <c r="E56" s="90" t="s">
        <v>87</v>
      </c>
      <c r="H56" s="61"/>
    </row>
    <row r="57" spans="2:8" ht="15.75">
      <c r="B57" s="95" t="s">
        <v>47</v>
      </c>
      <c r="C57" s="185">
        <f>C44+C45+C46+C47+C48+C49+C50+C51+C52+C53+C54+C55+C56</f>
        <v>626549.73363938602</v>
      </c>
      <c r="D57" s="186"/>
      <c r="E57" s="173"/>
    </row>
    <row r="58" spans="2:8">
      <c r="B58" s="104" t="s">
        <v>48</v>
      </c>
      <c r="C58" s="1"/>
      <c r="D58" s="96"/>
      <c r="E58" s="90"/>
    </row>
    <row r="59" spans="2:8" s="63" customFormat="1" ht="51">
      <c r="B59" s="112" t="s">
        <v>49</v>
      </c>
      <c r="C59" s="222">
        <f>(15.78*96.4189*3)+(15.78*100.2864*9)+(1.78*(C14+C15)*12)</f>
        <v>181150.62125400003</v>
      </c>
      <c r="D59" s="229" t="s">
        <v>365</v>
      </c>
      <c r="E59" s="113"/>
    </row>
    <row r="60" spans="2:8">
      <c r="B60" s="106" t="s">
        <v>50</v>
      </c>
      <c r="C60" s="1">
        <f>13.69*1228*0</f>
        <v>0</v>
      </c>
      <c r="D60" s="96" t="s">
        <v>366</v>
      </c>
      <c r="E60" s="90" t="s">
        <v>441</v>
      </c>
    </row>
    <row r="61" spans="2:8" ht="89.25">
      <c r="B61" s="114" t="s">
        <v>120</v>
      </c>
      <c r="C61" s="4">
        <f>17.51*(C14+C15)</f>
        <v>133082.12850000002</v>
      </c>
      <c r="D61" s="96" t="s">
        <v>368</v>
      </c>
      <c r="E61" s="90"/>
    </row>
    <row r="62" spans="2:8" ht="51">
      <c r="B62" s="104" t="s">
        <v>51</v>
      </c>
      <c r="C62" s="222">
        <f>(632.04+251.07/3)*30338/1000</f>
        <v>21713.816740000002</v>
      </c>
      <c r="D62" s="229" t="s">
        <v>369</v>
      </c>
      <c r="E62" s="115" t="s">
        <v>91</v>
      </c>
    </row>
    <row r="63" spans="2:8" ht="51">
      <c r="B63" s="116" t="s">
        <v>52</v>
      </c>
      <c r="C63" s="230">
        <f>((1091.41/12*3*96.4189)+(1091.41/12*9*100.2864))+((1091.41/12*3*96.4189)+(1091.41/12*9*100.2864))/1.302*25%</f>
        <v>129212.13283790168</v>
      </c>
      <c r="D63" s="229" t="s">
        <v>370</v>
      </c>
      <c r="E63" s="90"/>
    </row>
    <row r="64" spans="2:8" ht="15.75">
      <c r="B64" s="117" t="s">
        <v>53</v>
      </c>
      <c r="C64" s="109">
        <f>C59+C60+C61+C62+C63</f>
        <v>465158.69933190173</v>
      </c>
      <c r="D64" s="110"/>
      <c r="E64" s="90"/>
    </row>
    <row r="65" spans="2:8">
      <c r="B65" s="116" t="s">
        <v>54</v>
      </c>
      <c r="C65" s="1"/>
      <c r="D65" s="96"/>
      <c r="E65" s="90"/>
    </row>
    <row r="66" spans="2:8" s="62" customFormat="1" ht="12.75">
      <c r="B66" s="118" t="s">
        <v>55</v>
      </c>
      <c r="C66" s="2">
        <v>0</v>
      </c>
      <c r="D66" s="119"/>
      <c r="E66" s="86"/>
    </row>
    <row r="67" spans="2:8">
      <c r="B67" s="116" t="s">
        <v>56</v>
      </c>
      <c r="C67" s="88">
        <v>0</v>
      </c>
      <c r="D67" s="120"/>
      <c r="E67" s="90"/>
    </row>
    <row r="68" spans="2:8">
      <c r="B68" s="116" t="s">
        <v>57</v>
      </c>
      <c r="C68" s="88"/>
      <c r="D68" s="120"/>
      <c r="E68" s="90"/>
    </row>
    <row r="69" spans="2:8">
      <c r="B69" s="116" t="s">
        <v>58</v>
      </c>
      <c r="C69" s="88"/>
      <c r="D69" s="120"/>
      <c r="E69" s="90"/>
    </row>
    <row r="70" spans="2:8">
      <c r="B70" s="116" t="s">
        <v>59</v>
      </c>
      <c r="C70" s="88"/>
      <c r="D70" s="120"/>
      <c r="E70" s="90"/>
    </row>
    <row r="71" spans="2:8" ht="15.75">
      <c r="B71" s="117" t="s">
        <v>60</v>
      </c>
      <c r="C71" s="121">
        <f>C66+C67</f>
        <v>0</v>
      </c>
      <c r="D71" s="122"/>
      <c r="E71" s="90"/>
    </row>
    <row r="72" spans="2:8">
      <c r="B72" s="123" t="s">
        <v>61</v>
      </c>
      <c r="C72" s="88">
        <f>3.05*(C14+C15)</f>
        <v>23181.067500000001</v>
      </c>
      <c r="D72" s="120" t="s">
        <v>371</v>
      </c>
      <c r="E72" s="90"/>
    </row>
    <row r="73" spans="2:8" ht="15.75">
      <c r="B73" s="124" t="s">
        <v>62</v>
      </c>
      <c r="C73" s="125">
        <f>1.49*(C14+C15)</f>
        <v>11324.521500000001</v>
      </c>
      <c r="D73" s="126" t="s">
        <v>455</v>
      </c>
      <c r="E73" s="90"/>
      <c r="H73" s="64"/>
    </row>
    <row r="74" spans="2:8">
      <c r="B74" s="68" t="s">
        <v>63</v>
      </c>
      <c r="C74" s="88">
        <f>(C57+C64)*0.341</f>
        <v>372272.57564320916</v>
      </c>
      <c r="D74" s="120" t="s">
        <v>224</v>
      </c>
      <c r="E74" s="90"/>
    </row>
    <row r="75" spans="2:8" ht="38.25">
      <c r="B75" s="68" t="s">
        <v>121</v>
      </c>
      <c r="C75" s="125">
        <f>(C57+C64+C74)*0.132</f>
        <v>193245.49313711358</v>
      </c>
      <c r="D75" s="69" t="s">
        <v>225</v>
      </c>
      <c r="E75" s="90" t="s">
        <v>85</v>
      </c>
    </row>
    <row r="76" spans="2:8" ht="15.75">
      <c r="B76" s="127" t="s">
        <v>122</v>
      </c>
      <c r="C76" s="121">
        <f>C72+C73+C74+C75</f>
        <v>600023.65778032271</v>
      </c>
      <c r="D76" s="122"/>
      <c r="E76" s="90"/>
    </row>
    <row r="77" spans="2:8">
      <c r="B77" s="68" t="s">
        <v>64</v>
      </c>
      <c r="C77" s="88">
        <f>(C57+C64+C71+C76)*3%</f>
        <v>50751.962722548313</v>
      </c>
      <c r="D77" s="120"/>
      <c r="E77" s="90"/>
    </row>
    <row r="78" spans="2:8" ht="15.75">
      <c r="B78" s="128" t="s">
        <v>26</v>
      </c>
      <c r="C78" s="129">
        <f>C57+C64+C71+C76+C77</f>
        <v>1742484.0534741587</v>
      </c>
      <c r="D78" s="130"/>
      <c r="E78" s="90"/>
    </row>
    <row r="79" spans="2:8" ht="15.75">
      <c r="B79" s="128" t="s">
        <v>65</v>
      </c>
      <c r="C79" s="129">
        <f>C78*1.18</f>
        <v>2056131.1830995071</v>
      </c>
      <c r="D79" s="130"/>
      <c r="E79" s="90"/>
    </row>
    <row r="80" spans="2:8" ht="15.75">
      <c r="B80" s="131"/>
      <c r="C80" s="132">
        <f>C41-C79</f>
        <v>-38523.850851507159</v>
      </c>
      <c r="D80" s="133"/>
      <c r="E80" s="90"/>
    </row>
    <row r="81" spans="2:5" ht="30">
      <c r="B81" s="134" t="s">
        <v>123</v>
      </c>
      <c r="C81" s="135">
        <f>C79/(C14+C15)/12</f>
        <v>22.544259837809079</v>
      </c>
      <c r="D81" s="136" t="s">
        <v>367</v>
      </c>
      <c r="E81" s="137"/>
    </row>
    <row r="82" spans="2:5">
      <c r="B82" s="138"/>
      <c r="E82" s="138"/>
    </row>
    <row r="83" spans="2:5" ht="15" customHeight="1">
      <c r="B83" s="802" t="s">
        <v>124</v>
      </c>
      <c r="C83" s="802"/>
      <c r="D83" s="802"/>
      <c r="E83" s="138"/>
    </row>
    <row r="84" spans="2:5" ht="39" customHeight="1">
      <c r="B84" s="803" t="s">
        <v>226</v>
      </c>
      <c r="C84" s="803"/>
      <c r="D84" s="803"/>
      <c r="E84" s="803"/>
    </row>
    <row r="85" spans="2:5" ht="27" customHeight="1">
      <c r="B85" s="803" t="s">
        <v>227</v>
      </c>
      <c r="C85" s="803"/>
      <c r="D85" s="803"/>
      <c r="E85" s="803"/>
    </row>
    <row r="86" spans="2:5" ht="24" customHeight="1">
      <c r="B86" s="157"/>
      <c r="C86" s="158"/>
      <c r="D86" s="159"/>
      <c r="E86" s="138"/>
    </row>
    <row r="87" spans="2:5">
      <c r="B87" s="160"/>
      <c r="C87" s="161"/>
      <c r="D87" s="162"/>
      <c r="E87" s="138"/>
    </row>
    <row r="88" spans="2:5">
      <c r="B88" s="797" t="s">
        <v>188</v>
      </c>
      <c r="C88" s="797"/>
      <c r="D88" s="797"/>
      <c r="E88" s="138"/>
    </row>
    <row r="89" spans="2:5">
      <c r="B89" s="797"/>
      <c r="C89" s="797"/>
      <c r="D89" s="797"/>
    </row>
    <row r="91" spans="2:5" ht="18.75">
      <c r="B91" s="170"/>
      <c r="C91" s="170"/>
      <c r="D91" s="170"/>
    </row>
    <row r="100" spans="2:5" s="65" customFormat="1">
      <c r="B100" s="66"/>
      <c r="C100" s="66"/>
      <c r="D100" s="66"/>
      <c r="E100" s="67"/>
    </row>
    <row r="101" spans="2:5" s="65" customFormat="1">
      <c r="B101" s="66"/>
      <c r="C101" s="66"/>
      <c r="D101" s="66"/>
      <c r="E101" s="67"/>
    </row>
    <row r="102" spans="2:5" s="65" customFormat="1">
      <c r="B102" s="66"/>
      <c r="C102" s="66"/>
      <c r="D102" s="66"/>
      <c r="E102" s="67"/>
    </row>
    <row r="103" spans="2:5" s="65" customFormat="1">
      <c r="B103" s="66"/>
      <c r="C103" s="66"/>
      <c r="D103" s="66"/>
      <c r="E103" s="67"/>
    </row>
    <row r="104" spans="2:5" s="65" customFormat="1">
      <c r="B104" s="66"/>
      <c r="C104" s="66"/>
      <c r="D104" s="66"/>
      <c r="E104" s="67"/>
    </row>
    <row r="105" spans="2:5" s="65" customFormat="1">
      <c r="B105" s="66"/>
      <c r="C105" s="66"/>
      <c r="D105" s="66"/>
      <c r="E105" s="67"/>
    </row>
    <row r="106" spans="2:5" s="65" customFormat="1">
      <c r="B106" s="66"/>
      <c r="C106" s="66"/>
      <c r="D106" s="66"/>
      <c r="E106" s="67"/>
    </row>
    <row r="107" spans="2:5" s="65" customFormat="1">
      <c r="B107" s="66"/>
      <c r="C107" s="66"/>
      <c r="D107" s="66"/>
      <c r="E107" s="67"/>
    </row>
  </sheetData>
  <mergeCells count="7">
    <mergeCell ref="B89:D89"/>
    <mergeCell ref="B83:D83"/>
    <mergeCell ref="B10:E10"/>
    <mergeCell ref="B11:E12"/>
    <mergeCell ref="B88:D88"/>
    <mergeCell ref="B84:E84"/>
    <mergeCell ref="B85:E85"/>
  </mergeCells>
  <pageMargins left="0.49" right="0.11" top="0.33" bottom="0.74803149606299213" header="0.31496062992125984" footer="0.31496062992125984"/>
  <pageSetup paperSize="9" scale="80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F0"/>
  </sheetPr>
  <dimension ref="A1:G100"/>
  <sheetViews>
    <sheetView zoomScaleNormal="100" workbookViewId="0">
      <selection activeCell="E1" sqref="E1:G1048576"/>
    </sheetView>
  </sheetViews>
  <sheetFormatPr defaultColWidth="9.140625" defaultRowHeight="15"/>
  <cols>
    <col min="1" max="1" width="44.7109375" style="66" customWidth="1"/>
    <col min="2" max="2" width="17.140625" style="66" bestFit="1" customWidth="1"/>
    <col min="3" max="3" width="35.7109375" style="66" customWidth="1"/>
    <col min="4" max="4" width="18.140625" style="66" customWidth="1"/>
    <col min="5" max="5" width="2.5703125" style="58" hidden="1" customWidth="1"/>
    <col min="6" max="6" width="26.140625" style="58" hidden="1" customWidth="1"/>
    <col min="7" max="7" width="14.5703125" style="58" hidden="1" customWidth="1"/>
    <col min="8" max="8" width="9.140625" style="58" customWidth="1"/>
    <col min="9" max="16384" width="9.140625" style="58"/>
  </cols>
  <sheetData>
    <row r="1" spans="1:7">
      <c r="C1" s="159" t="s">
        <v>0</v>
      </c>
      <c r="D1" s="65"/>
    </row>
    <row r="2" spans="1:7">
      <c r="C2" s="159" t="s">
        <v>185</v>
      </c>
      <c r="D2" s="65"/>
    </row>
    <row r="3" spans="1:7">
      <c r="C3" s="159" t="s">
        <v>1</v>
      </c>
      <c r="D3" s="65"/>
    </row>
    <row r="4" spans="1:7">
      <c r="C4" s="159"/>
      <c r="D4" s="65"/>
    </row>
    <row r="5" spans="1:7">
      <c r="C5" s="159" t="s">
        <v>217</v>
      </c>
      <c r="D5" s="65"/>
    </row>
    <row r="6" spans="1:7">
      <c r="C6" s="193"/>
    </row>
    <row r="7" spans="1:7">
      <c r="C7" s="193"/>
    </row>
    <row r="8" spans="1:7">
      <c r="A8" s="801" t="s">
        <v>874</v>
      </c>
      <c r="B8" s="801"/>
      <c r="C8" s="801"/>
      <c r="D8" s="801"/>
    </row>
    <row r="9" spans="1:7">
      <c r="A9" s="801" t="s">
        <v>102</v>
      </c>
      <c r="B9" s="801"/>
      <c r="C9" s="801"/>
      <c r="D9" s="801"/>
    </row>
    <row r="10" spans="1:7">
      <c r="A10" s="801"/>
      <c r="B10" s="801"/>
      <c r="C10" s="801"/>
      <c r="D10" s="801"/>
    </row>
    <row r="11" spans="1:7">
      <c r="A11" s="237"/>
      <c r="B11" s="237"/>
      <c r="C11" s="237"/>
    </row>
    <row r="12" spans="1:7">
      <c r="A12" s="160" t="s">
        <v>2</v>
      </c>
      <c r="B12" s="238">
        <v>7514.55</v>
      </c>
      <c r="C12" s="463" t="s">
        <v>72</v>
      </c>
    </row>
    <row r="13" spans="1:7" s="59" customFormat="1">
      <c r="A13" s="464" t="s">
        <v>3</v>
      </c>
      <c r="B13" s="240">
        <f>42+15.9+27.9</f>
        <v>85.8</v>
      </c>
      <c r="C13" s="241"/>
      <c r="D13" s="242"/>
    </row>
    <row r="14" spans="1:7" s="59" customFormat="1">
      <c r="A14" s="464"/>
      <c r="B14" s="240"/>
      <c r="C14" s="241"/>
      <c r="D14" s="242"/>
    </row>
    <row r="15" spans="1:7" ht="28.5">
      <c r="A15" s="725" t="s">
        <v>4</v>
      </c>
      <c r="B15" s="561" t="s">
        <v>5</v>
      </c>
      <c r="C15" s="726" t="s">
        <v>6</v>
      </c>
      <c r="D15" s="562" t="s">
        <v>84</v>
      </c>
      <c r="F15" s="698" t="s">
        <v>132</v>
      </c>
      <c r="G15" s="576">
        <v>19.88</v>
      </c>
    </row>
    <row r="16" spans="1:7">
      <c r="A16" s="727" t="s">
        <v>7</v>
      </c>
      <c r="B16" s="728">
        <f>G16*G15*12</f>
        <v>1792671.048</v>
      </c>
      <c r="C16" s="729" t="s">
        <v>875</v>
      </c>
      <c r="D16" s="425" t="s">
        <v>85</v>
      </c>
      <c r="F16" s="577" t="s">
        <v>134</v>
      </c>
      <c r="G16" s="577">
        <v>7514.55</v>
      </c>
    </row>
    <row r="17" spans="1:7">
      <c r="A17" s="730" t="s">
        <v>9</v>
      </c>
      <c r="B17" s="731">
        <f>B18+B20+B22</f>
        <v>20468.447999999997</v>
      </c>
      <c r="C17" s="237"/>
      <c r="D17" s="337"/>
      <c r="F17" s="577" t="s">
        <v>135</v>
      </c>
      <c r="G17" s="577">
        <v>186</v>
      </c>
    </row>
    <row r="18" spans="1:7">
      <c r="A18" s="732" t="s">
        <v>79</v>
      </c>
      <c r="B18" s="733">
        <f>B19</f>
        <v>10019.519999999999</v>
      </c>
      <c r="C18" s="588"/>
      <c r="D18" s="377"/>
      <c r="F18" s="703" t="s">
        <v>836</v>
      </c>
      <c r="G18" s="387">
        <v>565</v>
      </c>
    </row>
    <row r="19" spans="1:7">
      <c r="A19" s="734" t="s">
        <v>10</v>
      </c>
      <c r="B19" s="564">
        <f>42*G15*12</f>
        <v>10019.519999999999</v>
      </c>
      <c r="C19" s="588" t="s">
        <v>876</v>
      </c>
      <c r="D19" s="377" t="s">
        <v>85</v>
      </c>
      <c r="F19" s="577" t="s">
        <v>136</v>
      </c>
      <c r="G19" s="577">
        <v>591</v>
      </c>
    </row>
    <row r="20" spans="1:7" ht="30">
      <c r="A20" s="732" t="s">
        <v>355</v>
      </c>
      <c r="B20" s="733">
        <f>B21</f>
        <v>3793.1039999999998</v>
      </c>
      <c r="C20" s="588"/>
      <c r="D20" s="377"/>
      <c r="F20" s="577" t="s">
        <v>139</v>
      </c>
      <c r="G20" s="577">
        <v>1228</v>
      </c>
    </row>
    <row r="21" spans="1:7">
      <c r="A21" s="734" t="s">
        <v>10</v>
      </c>
      <c r="B21" s="564">
        <f>15.9*G15*12</f>
        <v>3793.1039999999998</v>
      </c>
      <c r="C21" s="588" t="s">
        <v>877</v>
      </c>
      <c r="D21" s="377" t="s">
        <v>85</v>
      </c>
      <c r="F21" s="577" t="s">
        <v>140</v>
      </c>
      <c r="G21" s="577">
        <v>2</v>
      </c>
    </row>
    <row r="22" spans="1:7" ht="30">
      <c r="A22" s="732" t="s">
        <v>208</v>
      </c>
      <c r="B22" s="733">
        <f>B23</f>
        <v>6655.8239999999987</v>
      </c>
      <c r="C22" s="588"/>
      <c r="D22" s="377"/>
      <c r="F22" s="577" t="s">
        <v>141</v>
      </c>
      <c r="G22" s="577">
        <v>1</v>
      </c>
    </row>
    <row r="23" spans="1:7">
      <c r="A23" s="734" t="s">
        <v>10</v>
      </c>
      <c r="B23" s="564">
        <f>27.9*G15*12</f>
        <v>6655.8239999999987</v>
      </c>
      <c r="C23" s="588" t="s">
        <v>878</v>
      </c>
      <c r="D23" s="377" t="s">
        <v>85</v>
      </c>
      <c r="F23" s="577" t="s">
        <v>142</v>
      </c>
      <c r="G23" s="577">
        <v>1565.7</v>
      </c>
    </row>
    <row r="24" spans="1:7">
      <c r="A24" s="735" t="s">
        <v>12</v>
      </c>
      <c r="B24" s="736">
        <f>B16+B17</f>
        <v>1813139.496</v>
      </c>
      <c r="C24" s="737"/>
      <c r="D24" s="377"/>
      <c r="F24" s="577" t="s">
        <v>143</v>
      </c>
      <c r="G24" s="706">
        <v>6216.3</v>
      </c>
    </row>
    <row r="25" spans="1:7" ht="30">
      <c r="A25" s="738" t="s">
        <v>13</v>
      </c>
      <c r="B25" s="413">
        <f>B26+B27+B28+B29+B30+B31+B32</f>
        <v>5189.76</v>
      </c>
      <c r="C25" s="737"/>
      <c r="D25" s="377"/>
      <c r="F25" s="577" t="s">
        <v>144</v>
      </c>
      <c r="G25" s="577">
        <v>0</v>
      </c>
    </row>
    <row r="26" spans="1:7">
      <c r="A26" s="739" t="s">
        <v>14</v>
      </c>
      <c r="B26" s="413">
        <f>34.98*12</f>
        <v>419.76</v>
      </c>
      <c r="C26" s="740" t="s">
        <v>15</v>
      </c>
      <c r="D26" s="377" t="s">
        <v>85</v>
      </c>
      <c r="F26" s="577" t="s">
        <v>145</v>
      </c>
      <c r="G26" s="741">
        <v>1081.8354449999999</v>
      </c>
    </row>
    <row r="27" spans="1:7">
      <c r="A27" s="739" t="s">
        <v>16</v>
      </c>
      <c r="B27" s="413">
        <f>137.5*12*0</f>
        <v>0</v>
      </c>
      <c r="C27" s="742" t="s">
        <v>17</v>
      </c>
      <c r="D27" s="377"/>
      <c r="F27" s="577" t="s">
        <v>460</v>
      </c>
      <c r="G27" s="577">
        <v>15.79</v>
      </c>
    </row>
    <row r="28" spans="1:7">
      <c r="A28" s="739" t="s">
        <v>18</v>
      </c>
      <c r="B28" s="413">
        <f>123.75*12</f>
        <v>1485</v>
      </c>
      <c r="C28" s="742" t="s">
        <v>19</v>
      </c>
      <c r="D28" s="377" t="s">
        <v>85</v>
      </c>
      <c r="F28" s="577" t="s">
        <v>461</v>
      </c>
      <c r="G28" s="379">
        <f>(G23/3+G24)/3358</f>
        <v>2.0066110780226323</v>
      </c>
    </row>
    <row r="29" spans="1:7">
      <c r="A29" s="739" t="s">
        <v>20</v>
      </c>
      <c r="B29" s="413">
        <f>123.75*12</f>
        <v>1485</v>
      </c>
      <c r="C29" s="742" t="s">
        <v>19</v>
      </c>
      <c r="D29" s="377" t="s">
        <v>85</v>
      </c>
      <c r="F29" s="577" t="s">
        <v>148</v>
      </c>
      <c r="G29" s="707">
        <f>G17/144</f>
        <v>1.2916666666666667</v>
      </c>
    </row>
    <row r="30" spans="1:7">
      <c r="A30" s="264" t="s">
        <v>66</v>
      </c>
      <c r="B30" s="743">
        <f>150*12</f>
        <v>1800</v>
      </c>
      <c r="C30" s="274" t="s">
        <v>21</v>
      </c>
      <c r="D30" s="377" t="s">
        <v>85</v>
      </c>
      <c r="F30" s="577" t="s">
        <v>149</v>
      </c>
      <c r="G30" s="708">
        <f>212/820</f>
        <v>0.25853658536585367</v>
      </c>
    </row>
    <row r="31" spans="1:7">
      <c r="A31" s="264" t="s">
        <v>22</v>
      </c>
      <c r="B31" s="276">
        <f>137.5*12*0</f>
        <v>0</v>
      </c>
      <c r="C31" s="274" t="s">
        <v>17</v>
      </c>
      <c r="D31" s="377"/>
      <c r="F31" s="578" t="s">
        <v>838</v>
      </c>
      <c r="G31" s="578">
        <v>0.05</v>
      </c>
    </row>
    <row r="32" spans="1:7">
      <c r="A32" s="264" t="s">
        <v>23</v>
      </c>
      <c r="B32" s="276">
        <f>150*12*0</f>
        <v>0</v>
      </c>
      <c r="C32" s="274" t="s">
        <v>21</v>
      </c>
      <c r="D32" s="377"/>
      <c r="F32" s="387" t="s">
        <v>151</v>
      </c>
      <c r="G32" s="387">
        <v>9</v>
      </c>
    </row>
    <row r="33" spans="1:7">
      <c r="A33" s="275" t="s">
        <v>24</v>
      </c>
      <c r="B33" s="276">
        <f>B34</f>
        <v>0</v>
      </c>
      <c r="C33" s="274"/>
      <c r="D33" s="377"/>
      <c r="F33" s="387" t="s">
        <v>462</v>
      </c>
      <c r="G33" s="387">
        <v>1032</v>
      </c>
    </row>
    <row r="34" spans="1:7">
      <c r="A34" s="264"/>
      <c r="B34" s="276"/>
      <c r="C34" s="274"/>
      <c r="D34" s="377"/>
      <c r="F34" s="405" t="s">
        <v>464</v>
      </c>
      <c r="G34" s="387">
        <v>30338</v>
      </c>
    </row>
    <row r="35" spans="1:7">
      <c r="A35" s="292" t="s">
        <v>26</v>
      </c>
      <c r="B35" s="322">
        <f>B24+B25+B33</f>
        <v>1818329.2560000001</v>
      </c>
      <c r="C35" s="274"/>
      <c r="D35" s="377"/>
      <c r="F35" s="578" t="s">
        <v>491</v>
      </c>
      <c r="G35" s="578">
        <v>0</v>
      </c>
    </row>
    <row r="36" spans="1:7">
      <c r="A36" s="244" t="s">
        <v>27</v>
      </c>
      <c r="B36" s="281" t="s">
        <v>5</v>
      </c>
      <c r="C36" s="282" t="s">
        <v>28</v>
      </c>
      <c r="D36" s="377"/>
      <c r="F36" s="387" t="s">
        <v>490</v>
      </c>
      <c r="G36" s="387">
        <v>1</v>
      </c>
    </row>
    <row r="37" spans="1:7">
      <c r="A37" s="283" t="s">
        <v>29</v>
      </c>
      <c r="B37" s="262"/>
      <c r="C37" s="284"/>
      <c r="D37" s="377"/>
    </row>
    <row r="38" spans="1:7" ht="75">
      <c r="A38" s="287" t="s">
        <v>30</v>
      </c>
      <c r="B38" s="410">
        <f>(G28*(3708+200)*1.5*1.15*1.083*1.302*6)+(G28*(3856+200)*1.5*1.15*1.083*1.302*6)+(0.104*G23*12)</f>
        <v>235178.53488381201</v>
      </c>
      <c r="C38" s="411" t="s">
        <v>879</v>
      </c>
      <c r="D38" s="377" t="s">
        <v>86</v>
      </c>
    </row>
    <row r="39" spans="1:7" ht="30">
      <c r="A39" s="287" t="s">
        <v>31</v>
      </c>
      <c r="B39" s="342">
        <f>(G30*9921.13*6)+(G30*10317.11*6)</f>
        <v>31393.952780487809</v>
      </c>
      <c r="C39" s="343" t="s">
        <v>880</v>
      </c>
      <c r="D39" s="377"/>
    </row>
    <row r="40" spans="1:7" ht="45">
      <c r="A40" s="287" t="s">
        <v>32</v>
      </c>
      <c r="B40" s="455">
        <f>(G29*9921.13*6)+(G29*10317.11*6)+(G17*10.95538*12)*G22</f>
        <v>181298.76816000001</v>
      </c>
      <c r="C40" s="343" t="s">
        <v>840</v>
      </c>
      <c r="D40" s="377"/>
    </row>
    <row r="41" spans="1:7">
      <c r="A41" s="287" t="s">
        <v>34</v>
      </c>
      <c r="B41" s="413">
        <f>(16.06+16.7)*G17</f>
        <v>6093.36</v>
      </c>
      <c r="C41" s="414" t="s">
        <v>841</v>
      </c>
      <c r="D41" s="377" t="s">
        <v>88</v>
      </c>
    </row>
    <row r="42" spans="1:7" ht="30">
      <c r="A42" s="287" t="s">
        <v>35</v>
      </c>
      <c r="B42" s="413">
        <f>(49.72+51.71)*2*G25*0</f>
        <v>0</v>
      </c>
      <c r="C42" s="414" t="s">
        <v>469</v>
      </c>
      <c r="D42" s="377"/>
    </row>
    <row r="43" spans="1:7">
      <c r="A43" s="287" t="s">
        <v>36</v>
      </c>
      <c r="B43" s="413">
        <f>0.25*G33*12</f>
        <v>3096</v>
      </c>
      <c r="C43" s="414" t="s">
        <v>881</v>
      </c>
      <c r="D43" s="377" t="s">
        <v>85</v>
      </c>
    </row>
    <row r="44" spans="1:7">
      <c r="A44" s="291" t="s">
        <v>37</v>
      </c>
      <c r="B44" s="413">
        <f>2.34*G33*4</f>
        <v>9659.5199999999986</v>
      </c>
      <c r="C44" s="414" t="s">
        <v>843</v>
      </c>
      <c r="D44" s="377" t="s">
        <v>89</v>
      </c>
    </row>
    <row r="45" spans="1:7" ht="30">
      <c r="A45" s="417" t="s">
        <v>67</v>
      </c>
      <c r="B45" s="381">
        <f>(635.59*6+661.01*6)*G36</f>
        <v>7779.6</v>
      </c>
      <c r="C45" s="385" t="s">
        <v>844</v>
      </c>
      <c r="D45" s="377" t="s">
        <v>85</v>
      </c>
    </row>
    <row r="46" spans="1:7" ht="30">
      <c r="A46" s="417" t="s">
        <v>190</v>
      </c>
      <c r="B46" s="351">
        <f>(466.1*6+484.74*6)*G35</f>
        <v>0</v>
      </c>
      <c r="C46" s="385" t="s">
        <v>845</v>
      </c>
      <c r="D46" s="377" t="s">
        <v>85</v>
      </c>
    </row>
    <row r="47" spans="1:7">
      <c r="A47" s="417" t="s">
        <v>41</v>
      </c>
      <c r="B47" s="413">
        <f>3750*12*G21</f>
        <v>90000</v>
      </c>
      <c r="C47" s="593" t="s">
        <v>882</v>
      </c>
      <c r="D47" s="377" t="s">
        <v>85</v>
      </c>
    </row>
    <row r="48" spans="1:7" ht="30">
      <c r="A48" s="417" t="s">
        <v>209</v>
      </c>
      <c r="B48" s="413">
        <f>13973*G21</f>
        <v>27946</v>
      </c>
      <c r="C48" s="593" t="s">
        <v>883</v>
      </c>
      <c r="D48" s="377" t="s">
        <v>94</v>
      </c>
    </row>
    <row r="49" spans="1:4">
      <c r="A49" s="417"/>
      <c r="B49" s="413"/>
      <c r="C49" s="593"/>
      <c r="D49" s="377"/>
    </row>
    <row r="50" spans="1:4">
      <c r="A50" s="321" t="s">
        <v>47</v>
      </c>
      <c r="B50" s="389">
        <f>SUM(B38:B49)</f>
        <v>592445.73582429986</v>
      </c>
      <c r="C50" s="744"/>
      <c r="D50" s="337"/>
    </row>
    <row r="51" spans="1:4">
      <c r="A51" s="287" t="s">
        <v>48</v>
      </c>
      <c r="B51" s="276"/>
      <c r="C51" s="274"/>
      <c r="D51" s="377"/>
    </row>
    <row r="52" spans="1:4" s="328" customFormat="1" ht="45">
      <c r="A52" s="293" t="s">
        <v>49</v>
      </c>
      <c r="B52" s="413">
        <f>(G27*100.2134*6)+(G27*104.2268*6)+(1.71*(B12+B13)*12)</f>
        <v>175327.846548</v>
      </c>
      <c r="C52" s="422" t="s">
        <v>884</v>
      </c>
      <c r="D52" s="423"/>
    </row>
    <row r="53" spans="1:4">
      <c r="A53" s="291" t="s">
        <v>50</v>
      </c>
      <c r="B53" s="276">
        <f>13.69*G20*0</f>
        <v>0</v>
      </c>
      <c r="C53" s="422" t="s">
        <v>885</v>
      </c>
      <c r="D53" s="377" t="s">
        <v>441</v>
      </c>
    </row>
    <row r="54" spans="1:4" ht="120">
      <c r="A54" s="426" t="s">
        <v>120</v>
      </c>
      <c r="B54" s="596">
        <f>17.51*(B13+B12)</f>
        <v>133082.12850000002</v>
      </c>
      <c r="C54" s="745" t="s">
        <v>867</v>
      </c>
      <c r="D54" s="377"/>
    </row>
    <row r="55" spans="1:4" ht="60">
      <c r="A55" s="287" t="s">
        <v>51</v>
      </c>
      <c r="B55" s="440">
        <f>(654.11+263.56/3)*G34/1000</f>
        <v>22509.683606666669</v>
      </c>
      <c r="C55" s="424" t="s">
        <v>886</v>
      </c>
      <c r="D55" s="417" t="s">
        <v>91</v>
      </c>
    </row>
    <row r="56" spans="1:4" ht="60">
      <c r="A56" s="296" t="s">
        <v>52</v>
      </c>
      <c r="B56" s="431">
        <f>((G26/12*6*100.2134)+(G26/12*6*104.2268))+((G26/12*6*100.2134)+(G26/12*6*104.2268))/1.302*25%</f>
        <v>131819.06918623799</v>
      </c>
      <c r="C56" s="422" t="s">
        <v>887</v>
      </c>
      <c r="D56" s="377"/>
    </row>
    <row r="57" spans="1:4">
      <c r="A57" s="302" t="s">
        <v>53</v>
      </c>
      <c r="B57" s="322">
        <f>SUM(B52:B56)</f>
        <v>462738.72784090467</v>
      </c>
      <c r="C57" s="274"/>
      <c r="D57" s="377"/>
    </row>
    <row r="58" spans="1:4">
      <c r="A58" s="296" t="s">
        <v>54</v>
      </c>
      <c r="B58" s="276"/>
      <c r="C58" s="274"/>
      <c r="D58" s="377"/>
    </row>
    <row r="59" spans="1:4" s="329" customFormat="1">
      <c r="A59" s="298" t="s">
        <v>55</v>
      </c>
      <c r="B59" s="299">
        <v>0</v>
      </c>
      <c r="C59" s="300"/>
      <c r="D59" s="425"/>
    </row>
    <row r="60" spans="1:4">
      <c r="A60" s="296" t="s">
        <v>56</v>
      </c>
      <c r="B60" s="262">
        <v>0</v>
      </c>
      <c r="C60" s="301"/>
      <c r="D60" s="377"/>
    </row>
    <row r="61" spans="1:4">
      <c r="A61" s="296" t="s">
        <v>57</v>
      </c>
      <c r="B61" s="262"/>
      <c r="C61" s="301"/>
      <c r="D61" s="377"/>
    </row>
    <row r="62" spans="1:4">
      <c r="A62" s="296" t="s">
        <v>58</v>
      </c>
      <c r="B62" s="262"/>
      <c r="C62" s="301"/>
      <c r="D62" s="377"/>
    </row>
    <row r="63" spans="1:4">
      <c r="A63" s="296" t="s">
        <v>59</v>
      </c>
      <c r="B63" s="262"/>
      <c r="C63" s="301"/>
      <c r="D63" s="377"/>
    </row>
    <row r="64" spans="1:4">
      <c r="A64" s="302" t="s">
        <v>60</v>
      </c>
      <c r="B64" s="307">
        <f>B59+B60</f>
        <v>0</v>
      </c>
      <c r="C64" s="301"/>
      <c r="D64" s="377"/>
    </row>
    <row r="65" spans="1:4">
      <c r="A65" s="303" t="s">
        <v>61</v>
      </c>
      <c r="B65" s="262">
        <f>3.051*(B12+B13)</f>
        <v>23188.667850000002</v>
      </c>
      <c r="C65" s="301" t="s">
        <v>888</v>
      </c>
      <c r="D65" s="377"/>
    </row>
    <row r="66" spans="1:4">
      <c r="A66" s="460" t="s">
        <v>62</v>
      </c>
      <c r="B66" s="304">
        <f>1.54*(B12+B13)</f>
        <v>11704.539000000001</v>
      </c>
      <c r="C66" s="746" t="s">
        <v>889</v>
      </c>
      <c r="D66" s="377"/>
    </row>
    <row r="67" spans="1:4">
      <c r="A67" s="264" t="s">
        <v>63</v>
      </c>
      <c r="B67" s="262">
        <f>(B50+B57)*0.348</f>
        <v>367204.19335549115</v>
      </c>
      <c r="C67" s="301" t="s">
        <v>514</v>
      </c>
      <c r="D67" s="377"/>
    </row>
    <row r="68" spans="1:4" ht="45">
      <c r="A68" s="264" t="s">
        <v>121</v>
      </c>
      <c r="B68" s="304">
        <f>(B50+B57+B67)*0.132</f>
        <v>187755.30272673184</v>
      </c>
      <c r="C68" s="589" t="s">
        <v>225</v>
      </c>
      <c r="D68" s="377" t="s">
        <v>85</v>
      </c>
    </row>
    <row r="69" spans="1:4">
      <c r="A69" s="127" t="s">
        <v>122</v>
      </c>
      <c r="B69" s="307">
        <f>B65+B66+B67+B68</f>
        <v>589852.70293222298</v>
      </c>
      <c r="C69" s="301"/>
      <c r="D69" s="377"/>
    </row>
    <row r="70" spans="1:4">
      <c r="A70" s="264" t="s">
        <v>64</v>
      </c>
      <c r="B70" s="262">
        <f>(B50+B57+B64+B69)*3%</f>
        <v>49351.114997922828</v>
      </c>
      <c r="C70" s="301"/>
      <c r="D70" s="377"/>
    </row>
    <row r="71" spans="1:4">
      <c r="A71" s="127" t="s">
        <v>26</v>
      </c>
      <c r="B71" s="357">
        <f>B50+B57+B64+B69+B70</f>
        <v>1694388.2815953505</v>
      </c>
      <c r="C71" s="306"/>
      <c r="D71" s="377"/>
    </row>
    <row r="72" spans="1:4">
      <c r="A72" s="127" t="s">
        <v>475</v>
      </c>
      <c r="B72" s="357">
        <f>B71*1.2</f>
        <v>2033265.9379144204</v>
      </c>
      <c r="C72" s="306"/>
      <c r="D72" s="377"/>
    </row>
    <row r="73" spans="1:4">
      <c r="A73" s="303"/>
      <c r="B73" s="307">
        <f>B35-B72</f>
        <v>-214936.68191442033</v>
      </c>
      <c r="C73" s="308"/>
      <c r="D73" s="377"/>
    </row>
    <row r="74" spans="1:4" ht="30">
      <c r="A74" s="445" t="s">
        <v>123</v>
      </c>
      <c r="B74" s="585">
        <f>B72/(B12+B13)/12</f>
        <v>22.293555975650467</v>
      </c>
      <c r="C74" s="447" t="s">
        <v>367</v>
      </c>
      <c r="D74" s="448"/>
    </row>
    <row r="75" spans="1:4">
      <c r="A75" s="591"/>
      <c r="D75" s="591"/>
    </row>
    <row r="76" spans="1:4">
      <c r="A76" s="799" t="s">
        <v>124</v>
      </c>
      <c r="B76" s="799"/>
      <c r="C76" s="799"/>
      <c r="D76" s="591"/>
    </row>
    <row r="77" spans="1:4">
      <c r="A77" s="800" t="s">
        <v>518</v>
      </c>
      <c r="B77" s="800"/>
      <c r="C77" s="800"/>
      <c r="D77" s="800"/>
    </row>
    <row r="78" spans="1:4">
      <c r="A78" s="800" t="s">
        <v>856</v>
      </c>
      <c r="B78" s="800"/>
      <c r="C78" s="800"/>
      <c r="D78" s="800"/>
    </row>
    <row r="79" spans="1:4">
      <c r="A79" s="157"/>
      <c r="B79" s="158"/>
      <c r="C79" s="159"/>
      <c r="D79" s="591"/>
    </row>
    <row r="80" spans="1:4">
      <c r="A80" s="160"/>
      <c r="B80" s="161"/>
      <c r="C80" s="162"/>
      <c r="D80" s="591"/>
    </row>
    <row r="81" spans="1:4">
      <c r="A81" s="797" t="s">
        <v>890</v>
      </c>
      <c r="B81" s="797"/>
      <c r="C81" s="797"/>
      <c r="D81" s="591"/>
    </row>
    <row r="82" spans="1:4">
      <c r="A82" s="797"/>
      <c r="B82" s="797"/>
      <c r="C82" s="797"/>
    </row>
    <row r="84" spans="1:4">
      <c r="A84" s="193"/>
      <c r="B84" s="193"/>
      <c r="C84" s="193"/>
    </row>
    <row r="93" spans="1:4" s="65" customFormat="1">
      <c r="A93" s="66"/>
      <c r="B93" s="66"/>
      <c r="C93" s="66"/>
      <c r="D93" s="66"/>
    </row>
    <row r="94" spans="1:4" s="65" customFormat="1">
      <c r="A94" s="66"/>
      <c r="B94" s="66"/>
      <c r="C94" s="66"/>
      <c r="D94" s="66"/>
    </row>
    <row r="95" spans="1:4" s="65" customFormat="1">
      <c r="A95" s="66"/>
      <c r="B95" s="66"/>
      <c r="C95" s="66"/>
      <c r="D95" s="66"/>
    </row>
    <row r="96" spans="1:4" s="65" customFormat="1">
      <c r="A96" s="66"/>
      <c r="B96" s="66"/>
      <c r="C96" s="66"/>
      <c r="D96" s="66"/>
    </row>
    <row r="97" spans="1:4" s="65" customFormat="1">
      <c r="A97" s="66"/>
      <c r="B97" s="66"/>
      <c r="C97" s="66"/>
      <c r="D97" s="66"/>
    </row>
    <row r="98" spans="1:4" s="65" customFormat="1">
      <c r="A98" s="66"/>
      <c r="B98" s="66"/>
      <c r="C98" s="66"/>
      <c r="D98" s="66"/>
    </row>
    <row r="99" spans="1:4" s="65" customFormat="1">
      <c r="A99" s="66"/>
      <c r="B99" s="66"/>
      <c r="C99" s="66"/>
      <c r="D99" s="66"/>
    </row>
    <row r="100" spans="1:4" s="65" customFormat="1">
      <c r="A100" s="66"/>
      <c r="B100" s="66"/>
      <c r="C100" s="66"/>
      <c r="D100" s="66"/>
    </row>
  </sheetData>
  <mergeCells count="7">
    <mergeCell ref="A82:C82"/>
    <mergeCell ref="A8:D8"/>
    <mergeCell ref="A9:D10"/>
    <mergeCell ref="A76:C76"/>
    <mergeCell ref="A77:D77"/>
    <mergeCell ref="A78:D78"/>
    <mergeCell ref="A81:C81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0" verticalDpi="0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F0"/>
  </sheetPr>
  <dimension ref="A1:G94"/>
  <sheetViews>
    <sheetView workbookViewId="0">
      <selection activeCell="A9" sqref="A9:D10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85546875" style="66" customWidth="1"/>
    <col min="5" max="5" width="1.7109375" style="360" hidden="1" customWidth="1"/>
    <col min="6" max="6" width="26.140625" style="360" hidden="1" customWidth="1"/>
    <col min="7" max="7" width="11.7109375" style="360" hidden="1" customWidth="1"/>
    <col min="8" max="16384" width="9.140625" style="360"/>
  </cols>
  <sheetData>
    <row r="1" spans="1:7" ht="15.75">
      <c r="A1" s="619"/>
      <c r="B1" s="619"/>
      <c r="C1" s="618" t="s">
        <v>0</v>
      </c>
      <c r="D1" s="619"/>
    </row>
    <row r="2" spans="1:7" ht="15.75">
      <c r="A2" s="619"/>
      <c r="B2" s="619"/>
      <c r="C2" s="618" t="s">
        <v>216</v>
      </c>
      <c r="D2" s="619"/>
    </row>
    <row r="3" spans="1:7" ht="15.75">
      <c r="A3" s="619"/>
      <c r="B3" s="619"/>
      <c r="C3" s="618" t="s">
        <v>189</v>
      </c>
      <c r="D3" s="619"/>
    </row>
    <row r="4" spans="1:7" ht="15.75">
      <c r="A4" s="619"/>
      <c r="B4" s="619"/>
      <c r="C4" s="618"/>
      <c r="D4" s="619"/>
    </row>
    <row r="5" spans="1:7" ht="15.75">
      <c r="A5" s="619"/>
      <c r="B5" s="619"/>
      <c r="C5" s="618" t="s">
        <v>217</v>
      </c>
      <c r="D5" s="619"/>
    </row>
    <row r="6" spans="1:7" ht="15.75">
      <c r="A6" s="619"/>
      <c r="B6" s="619"/>
      <c r="C6" s="70"/>
      <c r="D6" s="619"/>
    </row>
    <row r="7" spans="1:7" ht="15.75">
      <c r="A7" s="619"/>
      <c r="B7" s="619"/>
      <c r="C7" s="70"/>
      <c r="D7" s="619"/>
    </row>
    <row r="8" spans="1:7" ht="15.75">
      <c r="A8" s="798" t="s">
        <v>478</v>
      </c>
      <c r="B8" s="798"/>
      <c r="C8" s="798"/>
      <c r="D8" s="798"/>
    </row>
    <row r="9" spans="1:7">
      <c r="A9" s="798" t="s">
        <v>857</v>
      </c>
      <c r="B9" s="798"/>
      <c r="C9" s="798"/>
      <c r="D9" s="798"/>
    </row>
    <row r="10" spans="1:7">
      <c r="A10" s="798"/>
      <c r="B10" s="798"/>
      <c r="C10" s="798"/>
      <c r="D10" s="798"/>
    </row>
    <row r="11" spans="1:7" ht="15.75">
      <c r="A11" s="467"/>
      <c r="B11" s="467"/>
      <c r="C11" s="467"/>
      <c r="D11" s="619"/>
    </row>
    <row r="12" spans="1:7" ht="15.75">
      <c r="A12" s="74" t="s">
        <v>2</v>
      </c>
      <c r="B12" s="75">
        <v>4326.1000000000004</v>
      </c>
      <c r="C12" s="76" t="s">
        <v>72</v>
      </c>
      <c r="D12" s="619"/>
    </row>
    <row r="13" spans="1:7" s="363" customFormat="1" ht="15.75">
      <c r="A13" s="77" t="s">
        <v>3</v>
      </c>
      <c r="B13" s="78">
        <v>0</v>
      </c>
      <c r="C13" s="79"/>
      <c r="D13" s="696"/>
    </row>
    <row r="14" spans="1:7" s="363" customFormat="1" ht="15.75">
      <c r="A14" s="77"/>
      <c r="B14" s="78"/>
      <c r="C14" s="79"/>
      <c r="D14" s="696"/>
    </row>
    <row r="15" spans="1:7" ht="31.5">
      <c r="A15" s="81" t="s">
        <v>4</v>
      </c>
      <c r="B15" s="82" t="s">
        <v>5</v>
      </c>
      <c r="C15" s="83" t="s">
        <v>6</v>
      </c>
      <c r="D15" s="697" t="s">
        <v>84</v>
      </c>
      <c r="F15" s="698" t="s">
        <v>132</v>
      </c>
      <c r="G15" s="576">
        <v>22.26</v>
      </c>
    </row>
    <row r="16" spans="1:7" ht="31.5">
      <c r="A16" s="699" t="s">
        <v>7</v>
      </c>
      <c r="B16" s="625">
        <f>G16*G15*12</f>
        <v>1155587.8320000002</v>
      </c>
      <c r="C16" s="626" t="s">
        <v>858</v>
      </c>
      <c r="D16" s="627" t="s">
        <v>85</v>
      </c>
      <c r="F16" s="577" t="s">
        <v>134</v>
      </c>
      <c r="G16" s="577">
        <v>4326.1000000000004</v>
      </c>
    </row>
    <row r="17" spans="1:7" ht="15.75">
      <c r="A17" s="700" t="s">
        <v>9</v>
      </c>
      <c r="B17" s="701">
        <f>B13</f>
        <v>0</v>
      </c>
      <c r="C17" s="702"/>
      <c r="D17" s="629"/>
      <c r="F17" s="577" t="s">
        <v>135</v>
      </c>
      <c r="G17" s="577">
        <v>171</v>
      </c>
    </row>
    <row r="18" spans="1:7" ht="15.75">
      <c r="A18" s="95" t="s">
        <v>12</v>
      </c>
      <c r="B18" s="99">
        <f>B16+B17</f>
        <v>1155587.8320000002</v>
      </c>
      <c r="C18" s="110"/>
      <c r="D18" s="629"/>
      <c r="F18" s="703" t="s">
        <v>836</v>
      </c>
      <c r="G18" s="387">
        <v>273</v>
      </c>
    </row>
    <row r="19" spans="1:7" ht="31.5">
      <c r="A19" s="704" t="s">
        <v>13</v>
      </c>
      <c r="B19" s="705">
        <f>B20+B21+B22+B23+B24+B25+B26</f>
        <v>5189.76</v>
      </c>
      <c r="C19" s="110"/>
      <c r="D19" s="629"/>
      <c r="F19" s="577" t="s">
        <v>136</v>
      </c>
      <c r="G19" s="577">
        <v>273</v>
      </c>
    </row>
    <row r="20" spans="1:7" ht="15.75">
      <c r="A20" s="679" t="s">
        <v>14</v>
      </c>
      <c r="B20" s="109">
        <f>34.98*12</f>
        <v>419.76</v>
      </c>
      <c r="C20" s="110" t="s">
        <v>15</v>
      </c>
      <c r="D20" s="629" t="s">
        <v>85</v>
      </c>
      <c r="F20" s="577" t="s">
        <v>139</v>
      </c>
      <c r="G20" s="577"/>
    </row>
    <row r="21" spans="1:7" ht="15.75">
      <c r="A21" s="679" t="s">
        <v>16</v>
      </c>
      <c r="B21" s="109">
        <f>137.5*12*0</f>
        <v>0</v>
      </c>
      <c r="C21" s="110" t="s">
        <v>17</v>
      </c>
      <c r="D21" s="629"/>
      <c r="F21" s="577" t="s">
        <v>140</v>
      </c>
      <c r="G21" s="577">
        <v>1</v>
      </c>
    </row>
    <row r="22" spans="1:7" ht="15.75">
      <c r="A22" s="679" t="s">
        <v>18</v>
      </c>
      <c r="B22" s="109">
        <f>123.75*12</f>
        <v>1485</v>
      </c>
      <c r="C22" s="110" t="s">
        <v>19</v>
      </c>
      <c r="D22" s="629" t="s">
        <v>85</v>
      </c>
      <c r="F22" s="577" t="s">
        <v>141</v>
      </c>
      <c r="G22" s="577">
        <v>1</v>
      </c>
    </row>
    <row r="23" spans="1:7" ht="15.75">
      <c r="A23" s="679" t="s">
        <v>20</v>
      </c>
      <c r="B23" s="109">
        <f>123.75*12</f>
        <v>1485</v>
      </c>
      <c r="C23" s="110" t="s">
        <v>19</v>
      </c>
      <c r="D23" s="629" t="s">
        <v>85</v>
      </c>
      <c r="F23" s="577" t="s">
        <v>142</v>
      </c>
      <c r="G23" s="577">
        <v>1479.4</v>
      </c>
    </row>
    <row r="24" spans="1:7" ht="15.75">
      <c r="A24" s="679" t="s">
        <v>66</v>
      </c>
      <c r="B24" s="109">
        <f>150*12</f>
        <v>1800</v>
      </c>
      <c r="C24" s="110" t="s">
        <v>21</v>
      </c>
      <c r="D24" s="629" t="s">
        <v>85</v>
      </c>
      <c r="F24" s="577" t="s">
        <v>143</v>
      </c>
      <c r="G24" s="706">
        <v>5224.2</v>
      </c>
    </row>
    <row r="25" spans="1:7" ht="15.75">
      <c r="A25" s="679" t="s">
        <v>22</v>
      </c>
      <c r="B25" s="109">
        <f>137.5*12*0</f>
        <v>0</v>
      </c>
      <c r="C25" s="110" t="s">
        <v>17</v>
      </c>
      <c r="D25" s="629"/>
      <c r="F25" s="577" t="s">
        <v>144</v>
      </c>
      <c r="G25" s="577">
        <v>0</v>
      </c>
    </row>
    <row r="26" spans="1:7" ht="15.75">
      <c r="A26" s="679" t="s">
        <v>23</v>
      </c>
      <c r="B26" s="109">
        <f>150*12*0</f>
        <v>0</v>
      </c>
      <c r="C26" s="110" t="s">
        <v>21</v>
      </c>
      <c r="D26" s="629"/>
      <c r="F26" s="577" t="s">
        <v>145</v>
      </c>
      <c r="G26" s="379">
        <v>814.24</v>
      </c>
    </row>
    <row r="27" spans="1:7" ht="15.75">
      <c r="A27" s="704" t="s">
        <v>24</v>
      </c>
      <c r="B27" s="705">
        <f>B28</f>
        <v>0</v>
      </c>
      <c r="C27" s="110"/>
      <c r="D27" s="629"/>
      <c r="F27" s="577" t="s">
        <v>460</v>
      </c>
      <c r="G27" s="577">
        <v>8.69</v>
      </c>
    </row>
    <row r="28" spans="1:7" ht="15.75">
      <c r="A28" s="679"/>
      <c r="B28" s="109"/>
      <c r="C28" s="110"/>
      <c r="D28" s="629"/>
      <c r="F28" s="577" t="s">
        <v>461</v>
      </c>
      <c r="G28" s="379">
        <f>(G23/3+G24)/3358</f>
        <v>1.7026007544173118</v>
      </c>
    </row>
    <row r="29" spans="1:7" ht="15.75">
      <c r="A29" s="108" t="s">
        <v>26</v>
      </c>
      <c r="B29" s="99">
        <f>B18+B19+B27</f>
        <v>1160777.5920000002</v>
      </c>
      <c r="C29" s="110"/>
      <c r="D29" s="629"/>
      <c r="F29" s="577" t="s">
        <v>148</v>
      </c>
      <c r="G29" s="707">
        <f>G17/144</f>
        <v>1.1875</v>
      </c>
    </row>
    <row r="30" spans="1:7" ht="15.75">
      <c r="A30" s="82" t="s">
        <v>27</v>
      </c>
      <c r="B30" s="100" t="s">
        <v>5</v>
      </c>
      <c r="C30" s="101" t="s">
        <v>28</v>
      </c>
      <c r="D30" s="629"/>
      <c r="F30" s="577" t="s">
        <v>149</v>
      </c>
      <c r="G30" s="708">
        <f>(396.8+110.9)/820</f>
        <v>0.61914634146341474</v>
      </c>
    </row>
    <row r="31" spans="1:7" ht="15.75">
      <c r="A31" s="709" t="s">
        <v>29</v>
      </c>
      <c r="B31" s="121"/>
      <c r="C31" s="710"/>
      <c r="D31" s="629"/>
      <c r="F31" s="578" t="s">
        <v>838</v>
      </c>
      <c r="G31" s="578">
        <v>2</v>
      </c>
    </row>
    <row r="32" spans="1:7" ht="94.5">
      <c r="A32" s="456" t="s">
        <v>30</v>
      </c>
      <c r="B32" s="644">
        <f>(G28*(3708+200)*1.5*1.15*1.083*1.302*6)+(G28*(3856+200)*1.5*1.15*1.083*1.302*6)+(0.104*G23*12)</f>
        <v>199736.29803169312</v>
      </c>
      <c r="C32" s="711" t="s">
        <v>859</v>
      </c>
      <c r="D32" s="629" t="s">
        <v>86</v>
      </c>
      <c r="F32" s="387" t="s">
        <v>151</v>
      </c>
      <c r="G32" s="387">
        <v>9</v>
      </c>
    </row>
    <row r="33" spans="1:7" ht="31.5">
      <c r="A33" s="456" t="s">
        <v>31</v>
      </c>
      <c r="B33" s="647">
        <f>(G30*9921.13*6)+(G30*10317.11*6)</f>
        <v>75182.593521951232</v>
      </c>
      <c r="C33" s="712" t="s">
        <v>860</v>
      </c>
      <c r="D33" s="629"/>
      <c r="F33" s="387" t="s">
        <v>462</v>
      </c>
      <c r="G33" s="387">
        <v>599</v>
      </c>
    </row>
    <row r="34" spans="1:7" ht="63">
      <c r="A34" s="456" t="s">
        <v>32</v>
      </c>
      <c r="B34" s="649">
        <f>(G29*9921.13*6)+(G29*10317.11*6)+(G17*10.95538*12)*G22</f>
        <v>166677.89976</v>
      </c>
      <c r="C34" s="712" t="s">
        <v>861</v>
      </c>
      <c r="D34" s="629"/>
      <c r="F34" s="405" t="s">
        <v>464</v>
      </c>
      <c r="G34" s="387">
        <v>17763</v>
      </c>
    </row>
    <row r="35" spans="1:7" ht="15.75">
      <c r="A35" s="456" t="s">
        <v>34</v>
      </c>
      <c r="B35" s="637">
        <f>(16.06+16.7)*G17</f>
        <v>5601.96</v>
      </c>
      <c r="C35" s="713" t="s">
        <v>862</v>
      </c>
      <c r="D35" s="629" t="s">
        <v>88</v>
      </c>
      <c r="F35" s="578" t="s">
        <v>491</v>
      </c>
      <c r="G35" s="578">
        <v>0</v>
      </c>
    </row>
    <row r="36" spans="1:7" ht="31.5">
      <c r="A36" s="456" t="s">
        <v>35</v>
      </c>
      <c r="B36" s="637">
        <f>(49.72+51.71)*2*G25*0</f>
        <v>0</v>
      </c>
      <c r="C36" s="713" t="s">
        <v>469</v>
      </c>
      <c r="D36" s="629"/>
      <c r="F36" s="387" t="s">
        <v>490</v>
      </c>
      <c r="G36" s="387">
        <v>1</v>
      </c>
    </row>
    <row r="37" spans="1:7" ht="31.5">
      <c r="A37" s="456" t="s">
        <v>36</v>
      </c>
      <c r="B37" s="637">
        <f>0.25*G33*12</f>
        <v>1797</v>
      </c>
      <c r="C37" s="713" t="s">
        <v>863</v>
      </c>
      <c r="D37" s="629" t="s">
        <v>85</v>
      </c>
    </row>
    <row r="38" spans="1:7" ht="15.75">
      <c r="A38" s="652" t="s">
        <v>37</v>
      </c>
      <c r="B38" s="637">
        <f>2.34*G33*4</f>
        <v>5606.6399999999994</v>
      </c>
      <c r="C38" s="713" t="s">
        <v>864</v>
      </c>
      <c r="D38" s="629" t="s">
        <v>89</v>
      </c>
    </row>
    <row r="39" spans="1:7" ht="47.25">
      <c r="A39" s="459" t="s">
        <v>67</v>
      </c>
      <c r="B39" s="653">
        <f>(635.59*6+661.01*6)*G36</f>
        <v>7779.6</v>
      </c>
      <c r="C39" s="636" t="s">
        <v>844</v>
      </c>
      <c r="D39" s="629" t="s">
        <v>85</v>
      </c>
    </row>
    <row r="40" spans="1:7" ht="47.25">
      <c r="A40" s="459" t="s">
        <v>190</v>
      </c>
      <c r="B40" s="654">
        <f>(466.1*6+484.74*6)*G35</f>
        <v>0</v>
      </c>
      <c r="C40" s="636" t="s">
        <v>845</v>
      </c>
      <c r="D40" s="629" t="s">
        <v>85</v>
      </c>
    </row>
    <row r="41" spans="1:7" ht="15.75">
      <c r="A41" s="636" t="s">
        <v>529</v>
      </c>
      <c r="B41" s="655">
        <f>3750*12*G21</f>
        <v>45000</v>
      </c>
      <c r="C41" s="459" t="s">
        <v>846</v>
      </c>
      <c r="D41" s="656" t="s">
        <v>85</v>
      </c>
    </row>
    <row r="42" spans="1:7" ht="15.75">
      <c r="A42" s="636" t="s">
        <v>530</v>
      </c>
      <c r="B42" s="657">
        <f>4190*G21</f>
        <v>4190</v>
      </c>
      <c r="C42" s="714" t="s">
        <v>127</v>
      </c>
      <c r="D42" s="658" t="s">
        <v>532</v>
      </c>
    </row>
    <row r="43" spans="1:7" ht="15.75">
      <c r="A43" s="659" t="s">
        <v>533</v>
      </c>
      <c r="B43" s="655">
        <v>0</v>
      </c>
      <c r="C43" s="715" t="s">
        <v>847</v>
      </c>
      <c r="D43" s="661" t="s">
        <v>159</v>
      </c>
    </row>
    <row r="44" spans="1:7" ht="15.75">
      <c r="A44" s="108" t="s">
        <v>47</v>
      </c>
      <c r="B44" s="99">
        <f>SUM(B32:B43)</f>
        <v>511571.99131364434</v>
      </c>
      <c r="C44" s="671"/>
      <c r="D44" s="629"/>
    </row>
    <row r="45" spans="1:7" ht="15.75">
      <c r="A45" s="456" t="s">
        <v>48</v>
      </c>
      <c r="B45" s="109"/>
      <c r="C45" s="671"/>
      <c r="D45" s="629"/>
    </row>
    <row r="46" spans="1:7" ht="63">
      <c r="A46" s="663" t="s">
        <v>49</v>
      </c>
      <c r="B46" s="637">
        <f>(G27*100.2134*6)+(G27*104.2268*6)+(1.71*(B13+B12)*12)</f>
        <v>99431.084027999997</v>
      </c>
      <c r="C46" s="716" t="s">
        <v>865</v>
      </c>
      <c r="D46" s="664"/>
    </row>
    <row r="47" spans="1:7" ht="15.75">
      <c r="A47" s="652" t="s">
        <v>50</v>
      </c>
      <c r="B47" s="109">
        <f>13.69*G15*0</f>
        <v>0</v>
      </c>
      <c r="C47" s="716" t="s">
        <v>866</v>
      </c>
      <c r="D47" s="629" t="s">
        <v>90</v>
      </c>
    </row>
    <row r="48" spans="1:7" ht="141.75">
      <c r="A48" s="666" t="s">
        <v>120</v>
      </c>
      <c r="B48" s="667">
        <f>17.51*(B12+B13)</f>
        <v>75750.011000000013</v>
      </c>
      <c r="C48" s="668" t="s">
        <v>867</v>
      </c>
      <c r="D48" s="629"/>
    </row>
    <row r="49" spans="1:4" ht="63">
      <c r="A49" s="456" t="s">
        <v>51</v>
      </c>
      <c r="B49" s="457">
        <f>(654.11+263.56/3)*G34/1000</f>
        <v>13179.494690000001</v>
      </c>
      <c r="C49" s="458" t="s">
        <v>868</v>
      </c>
      <c r="D49" s="459" t="s">
        <v>91</v>
      </c>
    </row>
    <row r="50" spans="1:4" s="415" customFormat="1" ht="78.75">
      <c r="A50" s="669" t="s">
        <v>52</v>
      </c>
      <c r="B50" s="670">
        <f>((G26/12*6*100.2134)+(G26/12*6*104.2268))+((G26/12*6*100.2134)+(G26/12*6*104.2268))/1.302*25%</f>
        <v>99213.202331526889</v>
      </c>
      <c r="C50" s="716" t="s">
        <v>869</v>
      </c>
      <c r="D50" s="629"/>
    </row>
    <row r="51" spans="1:4" s="415" customFormat="1" ht="15.75">
      <c r="A51" s="117" t="s">
        <v>53</v>
      </c>
      <c r="B51" s="99">
        <f>SUM(B46:B50)</f>
        <v>287573.79204952688</v>
      </c>
      <c r="C51" s="671"/>
      <c r="D51" s="672"/>
    </row>
    <row r="52" spans="1:4" s="415" customFormat="1" ht="15.75">
      <c r="A52" s="669" t="s">
        <v>54</v>
      </c>
      <c r="B52" s="109"/>
      <c r="C52" s="671"/>
      <c r="D52" s="672"/>
    </row>
    <row r="53" spans="1:4" s="415" customFormat="1" ht="15.75">
      <c r="A53" s="673" t="s">
        <v>501</v>
      </c>
      <c r="B53" s="674"/>
      <c r="C53" s="675"/>
      <c r="D53" s="676"/>
    </row>
    <row r="54" spans="1:4" ht="15.75">
      <c r="A54" s="669" t="s">
        <v>502</v>
      </c>
      <c r="B54" s="121"/>
      <c r="C54" s="677"/>
      <c r="D54" s="672"/>
    </row>
    <row r="55" spans="1:4" ht="15.75">
      <c r="A55" s="669" t="s">
        <v>57</v>
      </c>
      <c r="B55" s="121"/>
      <c r="C55" s="677"/>
      <c r="D55" s="672"/>
    </row>
    <row r="56" spans="1:4" ht="15.75">
      <c r="A56" s="669" t="s">
        <v>58</v>
      </c>
      <c r="B56" s="121"/>
      <c r="C56" s="677"/>
      <c r="D56" s="672"/>
    </row>
    <row r="57" spans="1:4" ht="15.75">
      <c r="A57" s="669" t="s">
        <v>59</v>
      </c>
      <c r="B57" s="121"/>
      <c r="C57" s="677"/>
      <c r="D57" s="672"/>
    </row>
    <row r="58" spans="1:4" ht="15.75">
      <c r="A58" s="117" t="s">
        <v>60</v>
      </c>
      <c r="B58" s="132">
        <f>B53+B54</f>
        <v>0</v>
      </c>
      <c r="C58" s="677"/>
      <c r="D58" s="672"/>
    </row>
    <row r="59" spans="1:4" ht="15.75">
      <c r="A59" s="131" t="s">
        <v>61</v>
      </c>
      <c r="B59" s="121">
        <f>3.051*(B12+B13)</f>
        <v>13198.931100000002</v>
      </c>
      <c r="C59" s="717" t="s">
        <v>870</v>
      </c>
      <c r="D59" s="672"/>
    </row>
    <row r="60" spans="1:4" ht="15.75">
      <c r="A60" s="678" t="s">
        <v>62</v>
      </c>
      <c r="B60" s="121">
        <f>1.54*(B12+B13)</f>
        <v>6662.1940000000004</v>
      </c>
      <c r="C60" s="718" t="s">
        <v>871</v>
      </c>
      <c r="D60" s="672"/>
    </row>
    <row r="61" spans="1:4" ht="15.75">
      <c r="A61" s="679" t="s">
        <v>63</v>
      </c>
      <c r="B61" s="457">
        <f>(B44+B51)*0.348</f>
        <v>278102.73261038354</v>
      </c>
      <c r="C61" s="719" t="s">
        <v>514</v>
      </c>
      <c r="D61" s="672"/>
    </row>
    <row r="62" spans="1:4" ht="47.25">
      <c r="A62" s="679" t="s">
        <v>121</v>
      </c>
      <c r="B62" s="121">
        <f>(B44+B51+B58+B61)*0.132</f>
        <v>142196.80410850921</v>
      </c>
      <c r="C62" s="677" t="s">
        <v>503</v>
      </c>
      <c r="D62" s="672" t="s">
        <v>85</v>
      </c>
    </row>
    <row r="63" spans="1:4" ht="15.75">
      <c r="A63" s="128" t="s">
        <v>122</v>
      </c>
      <c r="B63" s="132">
        <f>B59+B60+B61+B62</f>
        <v>440160.66181889275</v>
      </c>
      <c r="C63" s="677"/>
      <c r="D63" s="672"/>
    </row>
    <row r="64" spans="1:4" ht="15.75">
      <c r="A64" s="679" t="s">
        <v>64</v>
      </c>
      <c r="B64" s="121">
        <f>(B44+B51+B58+B63)*3%</f>
        <v>37179.193355461917</v>
      </c>
      <c r="C64" s="677"/>
      <c r="D64" s="672"/>
    </row>
    <row r="65" spans="1:4" ht="15.75">
      <c r="A65" s="128" t="s">
        <v>26</v>
      </c>
      <c r="B65" s="720">
        <f>B44+B51+B58+B63+B64</f>
        <v>1276485.6385375257</v>
      </c>
      <c r="C65" s="721"/>
      <c r="D65" s="672"/>
    </row>
    <row r="66" spans="1:4" ht="15.75">
      <c r="A66" s="128" t="s">
        <v>475</v>
      </c>
      <c r="B66" s="720">
        <f>B65*1.2</f>
        <v>1531782.7662450308</v>
      </c>
      <c r="C66" s="721"/>
      <c r="D66" s="672"/>
    </row>
    <row r="67" spans="1:4" ht="15.75">
      <c r="A67" s="131"/>
      <c r="B67" s="132">
        <f>B29-B66</f>
        <v>-371005.17424503062</v>
      </c>
      <c r="C67" s="722"/>
      <c r="D67" s="672"/>
    </row>
    <row r="68" spans="1:4" ht="31.5">
      <c r="A68" s="684" t="s">
        <v>123</v>
      </c>
      <c r="B68" s="723">
        <f>B66/(B12+B13)/12</f>
        <v>29.50661423770892</v>
      </c>
      <c r="C68" s="724" t="s">
        <v>872</v>
      </c>
      <c r="D68" s="687"/>
    </row>
    <row r="69" spans="1:4" ht="15.75">
      <c r="A69" s="619"/>
      <c r="B69" s="619"/>
      <c r="C69" s="619"/>
      <c r="D69" s="619"/>
    </row>
    <row r="70" spans="1:4" ht="15.75">
      <c r="A70" s="805" t="s">
        <v>124</v>
      </c>
      <c r="B70" s="805"/>
      <c r="C70" s="805"/>
      <c r="D70" s="619"/>
    </row>
    <row r="71" spans="1:4" ht="15.75">
      <c r="A71" s="806" t="s">
        <v>518</v>
      </c>
      <c r="B71" s="806"/>
      <c r="C71" s="806"/>
      <c r="D71" s="806"/>
    </row>
    <row r="72" spans="1:4" ht="15.75">
      <c r="A72" s="806" t="s">
        <v>856</v>
      </c>
      <c r="B72" s="806"/>
      <c r="C72" s="806"/>
      <c r="D72" s="806"/>
    </row>
    <row r="73" spans="1:4" ht="15.75">
      <c r="A73" s="693"/>
      <c r="B73" s="694"/>
      <c r="C73" s="618"/>
      <c r="D73" s="619"/>
    </row>
    <row r="74" spans="1:4" ht="15.75">
      <c r="A74" s="74"/>
      <c r="B74" s="695"/>
      <c r="C74" s="70"/>
      <c r="D74" s="619"/>
    </row>
    <row r="75" spans="1:4" ht="15.75">
      <c r="A75" s="804" t="s">
        <v>873</v>
      </c>
      <c r="B75" s="804"/>
      <c r="C75" s="804"/>
      <c r="D75" s="619"/>
    </row>
    <row r="78" spans="1:4">
      <c r="A78" s="193"/>
      <c r="B78" s="193"/>
      <c r="C78" s="193"/>
    </row>
    <row r="87" s="66" customFormat="1"/>
    <row r="88" s="66" customFormat="1"/>
    <row r="89" s="66" customFormat="1"/>
    <row r="90" s="66" customFormat="1"/>
    <row r="91" s="66" customFormat="1"/>
    <row r="92" s="66" customFormat="1"/>
    <row r="93" s="66" customFormat="1"/>
    <row r="94" s="66" customFormat="1"/>
  </sheetData>
  <mergeCells count="6">
    <mergeCell ref="A75:C75"/>
    <mergeCell ref="A8:D8"/>
    <mergeCell ref="A9:D10"/>
    <mergeCell ref="A70:C70"/>
    <mergeCell ref="A71:D71"/>
    <mergeCell ref="A72:D72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F0"/>
  </sheetPr>
  <dimension ref="A1:G96"/>
  <sheetViews>
    <sheetView workbookViewId="0">
      <selection activeCell="E10" sqref="E1:G1048576"/>
    </sheetView>
  </sheetViews>
  <sheetFormatPr defaultColWidth="9.140625" defaultRowHeight="15.75"/>
  <cols>
    <col min="1" max="1" width="44.7109375" style="620" customWidth="1"/>
    <col min="2" max="2" width="15.5703125" style="619" customWidth="1"/>
    <col min="3" max="3" width="47.85546875" style="619" customWidth="1"/>
    <col min="4" max="4" width="18.42578125" style="619" customWidth="1"/>
    <col min="5" max="5" width="2.85546875" style="620" hidden="1" customWidth="1"/>
    <col min="6" max="6" width="27.140625" style="620" hidden="1" customWidth="1"/>
    <col min="7" max="7" width="12.140625" style="620" hidden="1" customWidth="1"/>
    <col min="8" max="9" width="9.140625" style="620" customWidth="1"/>
    <col min="10" max="16384" width="9.140625" style="620"/>
  </cols>
  <sheetData>
    <row r="1" spans="1:7">
      <c r="A1" s="618"/>
      <c r="B1" s="618"/>
      <c r="C1" s="618" t="s">
        <v>0</v>
      </c>
    </row>
    <row r="2" spans="1:7">
      <c r="A2" s="618"/>
      <c r="B2" s="618"/>
      <c r="C2" s="618" t="s">
        <v>185</v>
      </c>
    </row>
    <row r="3" spans="1:7">
      <c r="A3" s="618"/>
      <c r="B3" s="618"/>
      <c r="C3" s="618" t="s">
        <v>1</v>
      </c>
    </row>
    <row r="4" spans="1:7">
      <c r="A4" s="618"/>
      <c r="B4" s="618"/>
      <c r="C4" s="618"/>
    </row>
    <row r="5" spans="1:7">
      <c r="A5" s="618"/>
      <c r="B5" s="618"/>
      <c r="C5" s="618" t="s">
        <v>217</v>
      </c>
    </row>
    <row r="6" spans="1:7">
      <c r="A6" s="618"/>
      <c r="B6" s="618"/>
      <c r="C6" s="618"/>
    </row>
    <row r="7" spans="1:7">
      <c r="A7" s="798" t="s">
        <v>478</v>
      </c>
      <c r="B7" s="798"/>
      <c r="C7" s="798"/>
      <c r="D7" s="798"/>
    </row>
    <row r="8" spans="1:7">
      <c r="A8" s="798"/>
      <c r="B8" s="798"/>
      <c r="C8" s="798"/>
      <c r="D8" s="798"/>
    </row>
    <row r="9" spans="1:7">
      <c r="A9" s="798" t="s">
        <v>834</v>
      </c>
      <c r="B9" s="798"/>
      <c r="C9" s="798"/>
      <c r="D9" s="798"/>
    </row>
    <row r="10" spans="1:7">
      <c r="A10" s="618"/>
      <c r="B10" s="618"/>
      <c r="C10" s="618"/>
    </row>
    <row r="11" spans="1:7">
      <c r="A11" s="467"/>
      <c r="B11" s="467"/>
      <c r="C11" s="467"/>
    </row>
    <row r="12" spans="1:7">
      <c r="A12" s="74" t="s">
        <v>2</v>
      </c>
      <c r="B12" s="75">
        <v>3846.9</v>
      </c>
      <c r="C12" s="76" t="s">
        <v>72</v>
      </c>
    </row>
    <row r="13" spans="1:7">
      <c r="A13" s="77" t="s">
        <v>3</v>
      </c>
      <c r="B13" s="78">
        <v>0</v>
      </c>
      <c r="C13" s="79"/>
    </row>
    <row r="14" spans="1:7">
      <c r="A14" s="77"/>
      <c r="B14" s="78"/>
      <c r="C14" s="79"/>
    </row>
    <row r="15" spans="1:7" s="621" customFormat="1" ht="31.5">
      <c r="A15" s="471" t="s">
        <v>4</v>
      </c>
      <c r="B15" s="472" t="s">
        <v>5</v>
      </c>
      <c r="C15" s="472" t="s">
        <v>6</v>
      </c>
      <c r="D15" s="543" t="s">
        <v>84</v>
      </c>
      <c r="F15" s="622" t="s">
        <v>132</v>
      </c>
      <c r="G15" s="623">
        <v>18.57</v>
      </c>
    </row>
    <row r="16" spans="1:7" s="621" customFormat="1">
      <c r="A16" s="624" t="s">
        <v>7</v>
      </c>
      <c r="B16" s="625">
        <f>G16*G15*12</f>
        <v>856797.51600000006</v>
      </c>
      <c r="C16" s="626" t="s">
        <v>835</v>
      </c>
      <c r="D16" s="627" t="s">
        <v>85</v>
      </c>
      <c r="F16" s="628" t="s">
        <v>134</v>
      </c>
      <c r="G16" s="628">
        <v>3844.9</v>
      </c>
    </row>
    <row r="17" spans="1:7">
      <c r="A17" s="624" t="s">
        <v>9</v>
      </c>
      <c r="B17" s="625">
        <v>0</v>
      </c>
      <c r="C17" s="626"/>
      <c r="D17" s="629"/>
      <c r="F17" s="628" t="s">
        <v>135</v>
      </c>
      <c r="G17" s="628">
        <v>72</v>
      </c>
    </row>
    <row r="18" spans="1:7">
      <c r="A18" s="543" t="s">
        <v>12</v>
      </c>
      <c r="B18" s="630">
        <f>SUM(B16+B17)</f>
        <v>856797.51600000006</v>
      </c>
      <c r="C18" s="631"/>
      <c r="D18" s="629"/>
      <c r="F18" s="632" t="s">
        <v>836</v>
      </c>
      <c r="G18" s="633">
        <v>196</v>
      </c>
    </row>
    <row r="19" spans="1:7" ht="31.5">
      <c r="A19" s="634" t="s">
        <v>13</v>
      </c>
      <c r="B19" s="635">
        <f>B20+B21+B22+B23+B24+B25+B26</f>
        <v>3704.76</v>
      </c>
      <c r="C19" s="631"/>
      <c r="D19" s="629"/>
      <c r="F19" s="628" t="s">
        <v>136</v>
      </c>
      <c r="G19" s="628">
        <v>196</v>
      </c>
    </row>
    <row r="20" spans="1:7">
      <c r="A20" s="636" t="s">
        <v>14</v>
      </c>
      <c r="B20" s="637">
        <f>34.98*12</f>
        <v>419.76</v>
      </c>
      <c r="C20" s="631" t="s">
        <v>15</v>
      </c>
      <c r="D20" s="629" t="s">
        <v>85</v>
      </c>
      <c r="F20" s="628" t="s">
        <v>139</v>
      </c>
      <c r="G20" s="628">
        <v>736</v>
      </c>
    </row>
    <row r="21" spans="1:7">
      <c r="A21" s="636" t="s">
        <v>16</v>
      </c>
      <c r="B21" s="637">
        <f>137.5*12*0</f>
        <v>0</v>
      </c>
      <c r="C21" s="631" t="s">
        <v>17</v>
      </c>
      <c r="D21" s="629" t="s">
        <v>85</v>
      </c>
      <c r="F21" s="628" t="s">
        <v>140</v>
      </c>
      <c r="G21" s="628">
        <v>2</v>
      </c>
    </row>
    <row r="22" spans="1:7">
      <c r="A22" s="636" t="s">
        <v>18</v>
      </c>
      <c r="B22" s="637">
        <f>123.75*12*0</f>
        <v>0</v>
      </c>
      <c r="C22" s="631" t="s">
        <v>19</v>
      </c>
      <c r="D22" s="629" t="s">
        <v>85</v>
      </c>
      <c r="F22" s="628" t="s">
        <v>141</v>
      </c>
      <c r="G22" s="628">
        <v>2</v>
      </c>
    </row>
    <row r="23" spans="1:7">
      <c r="A23" s="636" t="s">
        <v>20</v>
      </c>
      <c r="B23" s="637">
        <f>123.75*12</f>
        <v>1485</v>
      </c>
      <c r="C23" s="631" t="s">
        <v>19</v>
      </c>
      <c r="D23" s="629" t="s">
        <v>85</v>
      </c>
      <c r="F23" s="628" t="s">
        <v>142</v>
      </c>
      <c r="G23" s="628">
        <v>519.1</v>
      </c>
    </row>
    <row r="24" spans="1:7">
      <c r="A24" s="636" t="s">
        <v>66</v>
      </c>
      <c r="B24" s="637">
        <f>150*12</f>
        <v>1800</v>
      </c>
      <c r="C24" s="631" t="s">
        <v>21</v>
      </c>
      <c r="D24" s="629" t="s">
        <v>85</v>
      </c>
      <c r="F24" s="628" t="s">
        <v>143</v>
      </c>
      <c r="G24" s="638">
        <v>1881.9</v>
      </c>
    </row>
    <row r="25" spans="1:7">
      <c r="A25" s="636" t="s">
        <v>22</v>
      </c>
      <c r="B25" s="637">
        <f>137.5*12*0</f>
        <v>0</v>
      </c>
      <c r="C25" s="631" t="s">
        <v>17</v>
      </c>
      <c r="D25" s="629" t="s">
        <v>85</v>
      </c>
      <c r="F25" s="628" t="s">
        <v>144</v>
      </c>
      <c r="G25" s="628">
        <v>0</v>
      </c>
    </row>
    <row r="26" spans="1:7">
      <c r="A26" s="636" t="s">
        <v>23</v>
      </c>
      <c r="B26" s="637">
        <f>150*12*0</f>
        <v>0</v>
      </c>
      <c r="C26" s="631" t="s">
        <v>21</v>
      </c>
      <c r="D26" s="629" t="s">
        <v>85</v>
      </c>
      <c r="F26" s="628" t="s">
        <v>145</v>
      </c>
      <c r="G26" s="639">
        <v>489.39</v>
      </c>
    </row>
    <row r="27" spans="1:7">
      <c r="A27" s="634" t="s">
        <v>24</v>
      </c>
      <c r="B27" s="635">
        <v>0</v>
      </c>
      <c r="C27" s="631"/>
      <c r="D27" s="629"/>
      <c r="F27" s="628" t="s">
        <v>460</v>
      </c>
      <c r="G27" s="628">
        <v>8.84</v>
      </c>
    </row>
    <row r="28" spans="1:7">
      <c r="A28" s="543" t="s">
        <v>26</v>
      </c>
      <c r="B28" s="630">
        <f>B18+B19+B27</f>
        <v>860502.27600000007</v>
      </c>
      <c r="C28" s="631"/>
      <c r="D28" s="629"/>
      <c r="F28" s="628" t="s">
        <v>461</v>
      </c>
      <c r="G28" s="639">
        <f>(G23/3+G24)/3358</f>
        <v>0.61195155846734173</v>
      </c>
    </row>
    <row r="29" spans="1:7">
      <c r="A29" s="472" t="s">
        <v>27</v>
      </c>
      <c r="B29" s="640" t="s">
        <v>5</v>
      </c>
      <c r="C29" s="641" t="s">
        <v>28</v>
      </c>
      <c r="D29" s="629"/>
      <c r="F29" s="628" t="s">
        <v>148</v>
      </c>
      <c r="G29" s="642">
        <f>G17/144</f>
        <v>0.5</v>
      </c>
    </row>
    <row r="30" spans="1:7">
      <c r="A30" s="459" t="s">
        <v>29</v>
      </c>
      <c r="B30" s="457"/>
      <c r="C30" s="627"/>
      <c r="D30" s="629"/>
      <c r="F30" s="628" t="s">
        <v>149</v>
      </c>
      <c r="G30" s="643">
        <f>(163.8+196)/820</f>
        <v>0.43878048780487805</v>
      </c>
    </row>
    <row r="31" spans="1:7" ht="63">
      <c r="A31" s="456" t="s">
        <v>30</v>
      </c>
      <c r="B31" s="644">
        <f>(G28*(3708+200)*1.5*1.15*1.083*1.302*6)+(G28*(3856+200)*1.5*1.15*1.083*1.302*6)+(0.104*G23*12)</f>
        <v>71773.787949488222</v>
      </c>
      <c r="C31" s="645" t="s">
        <v>837</v>
      </c>
      <c r="D31" s="629" t="s">
        <v>86</v>
      </c>
      <c r="F31" s="646" t="s">
        <v>838</v>
      </c>
      <c r="G31" s="646">
        <v>2</v>
      </c>
    </row>
    <row r="32" spans="1:7" ht="31.5">
      <c r="A32" s="456" t="s">
        <v>31</v>
      </c>
      <c r="B32" s="647">
        <f>(G30*9921.13*6)+(G30*10317.11*6)</f>
        <v>53280.868917073174</v>
      </c>
      <c r="C32" s="648" t="s">
        <v>839</v>
      </c>
      <c r="D32" s="629"/>
      <c r="F32" s="633" t="s">
        <v>151</v>
      </c>
      <c r="G32" s="633">
        <v>9</v>
      </c>
    </row>
    <row r="33" spans="1:7" ht="47.25">
      <c r="A33" s="456" t="s">
        <v>32</v>
      </c>
      <c r="B33" s="649">
        <f>(G29*9921.13*6)+(G29*10317.11*6)+(G17*10.95538*12)*G22</f>
        <v>79645.616639999993</v>
      </c>
      <c r="C33" s="648" t="s">
        <v>840</v>
      </c>
      <c r="D33" s="629"/>
      <c r="F33" s="633" t="s">
        <v>462</v>
      </c>
      <c r="G33" s="633">
        <v>452</v>
      </c>
    </row>
    <row r="34" spans="1:7">
      <c r="A34" s="456" t="s">
        <v>34</v>
      </c>
      <c r="B34" s="637">
        <f>(16.06+16.7)*G17</f>
        <v>2358.7199999999998</v>
      </c>
      <c r="C34" s="636" t="s">
        <v>841</v>
      </c>
      <c r="D34" s="629" t="s">
        <v>88</v>
      </c>
      <c r="F34" s="650" t="s">
        <v>464</v>
      </c>
      <c r="G34" s="633">
        <v>16884</v>
      </c>
    </row>
    <row r="35" spans="1:7" s="651" customFormat="1" ht="31.5">
      <c r="A35" s="456" t="s">
        <v>35</v>
      </c>
      <c r="B35" s="637">
        <f>(49.72+51.71)*2*G25*0</f>
        <v>0</v>
      </c>
      <c r="C35" s="636" t="s">
        <v>469</v>
      </c>
      <c r="D35" s="629"/>
      <c r="F35" s="646" t="s">
        <v>491</v>
      </c>
      <c r="G35" s="646">
        <v>0</v>
      </c>
    </row>
    <row r="36" spans="1:7">
      <c r="A36" s="456" t="s">
        <v>36</v>
      </c>
      <c r="B36" s="637">
        <f>0.25*G33*12</f>
        <v>1356</v>
      </c>
      <c r="C36" s="636" t="s">
        <v>842</v>
      </c>
      <c r="D36" s="629" t="s">
        <v>85</v>
      </c>
      <c r="F36" s="633" t="s">
        <v>490</v>
      </c>
      <c r="G36" s="633">
        <v>1</v>
      </c>
    </row>
    <row r="37" spans="1:7">
      <c r="A37" s="652" t="s">
        <v>37</v>
      </c>
      <c r="B37" s="637">
        <f>2.34*G33*4</f>
        <v>4230.7199999999993</v>
      </c>
      <c r="C37" s="636" t="s">
        <v>843</v>
      </c>
      <c r="D37" s="629" t="s">
        <v>89</v>
      </c>
    </row>
    <row r="38" spans="1:7" ht="31.5">
      <c r="A38" s="459" t="s">
        <v>67</v>
      </c>
      <c r="B38" s="653">
        <f>(635.59*6+661.01*6)*G36</f>
        <v>7779.6</v>
      </c>
      <c r="C38" s="636" t="s">
        <v>844</v>
      </c>
      <c r="D38" s="629" t="s">
        <v>85</v>
      </c>
    </row>
    <row r="39" spans="1:7" ht="31.5">
      <c r="A39" s="459" t="s">
        <v>190</v>
      </c>
      <c r="B39" s="654">
        <f>(466.1*6+484.74*6)*G35</f>
        <v>0</v>
      </c>
      <c r="C39" s="636" t="s">
        <v>845</v>
      </c>
      <c r="D39" s="629" t="s">
        <v>85</v>
      </c>
    </row>
    <row r="40" spans="1:7">
      <c r="A40" s="636" t="s">
        <v>529</v>
      </c>
      <c r="B40" s="655">
        <f>3750*12*G21</f>
        <v>90000</v>
      </c>
      <c r="C40" s="459" t="s">
        <v>846</v>
      </c>
      <c r="D40" s="656" t="s">
        <v>85</v>
      </c>
    </row>
    <row r="41" spans="1:7">
      <c r="A41" s="636" t="s">
        <v>530</v>
      </c>
      <c r="B41" s="657">
        <f>4190*G21</f>
        <v>8380</v>
      </c>
      <c r="C41" s="459" t="s">
        <v>127</v>
      </c>
      <c r="D41" s="658" t="s">
        <v>532</v>
      </c>
    </row>
    <row r="42" spans="1:7">
      <c r="A42" s="659" t="s">
        <v>533</v>
      </c>
      <c r="B42" s="655">
        <v>0</v>
      </c>
      <c r="C42" s="660" t="s">
        <v>847</v>
      </c>
      <c r="D42" s="661" t="s">
        <v>159</v>
      </c>
    </row>
    <row r="43" spans="1:7">
      <c r="A43" s="108" t="s">
        <v>47</v>
      </c>
      <c r="B43" s="99">
        <f>SUM(B31:B42)</f>
        <v>318805.31350656139</v>
      </c>
      <c r="C43" s="662"/>
      <c r="D43" s="629"/>
    </row>
    <row r="44" spans="1:7">
      <c r="A44" s="456" t="s">
        <v>48</v>
      </c>
      <c r="B44" s="109"/>
      <c r="C44" s="662"/>
      <c r="D44" s="629"/>
    </row>
    <row r="45" spans="1:7" s="665" customFormat="1" ht="47.25">
      <c r="A45" s="663" t="s">
        <v>49</v>
      </c>
      <c r="B45" s="637">
        <f>(G27*100.2134*6)+(G27*104.2268*6)+(1.71*(B12+B13)*12)</f>
        <v>89781.896207999991</v>
      </c>
      <c r="C45" s="458" t="s">
        <v>848</v>
      </c>
      <c r="D45" s="664"/>
    </row>
    <row r="46" spans="1:7">
      <c r="A46" s="652" t="s">
        <v>50</v>
      </c>
      <c r="B46" s="109">
        <f>15.92*G14*0</f>
        <v>0</v>
      </c>
      <c r="C46" s="458" t="s">
        <v>849</v>
      </c>
      <c r="D46" s="629" t="s">
        <v>90</v>
      </c>
    </row>
    <row r="47" spans="1:7" ht="141.75">
      <c r="A47" s="666" t="s">
        <v>120</v>
      </c>
      <c r="B47" s="667">
        <f>17.51*(B13+B12)</f>
        <v>67359.219000000012</v>
      </c>
      <c r="C47" s="668" t="s">
        <v>850</v>
      </c>
      <c r="D47" s="629"/>
    </row>
    <row r="48" spans="1:7" ht="63">
      <c r="A48" s="456" t="s">
        <v>51</v>
      </c>
      <c r="B48" s="457">
        <f>(654.11+263.56/3)*G34/1000</f>
        <v>12527.308919999999</v>
      </c>
      <c r="C48" s="458" t="s">
        <v>851</v>
      </c>
      <c r="D48" s="459" t="s">
        <v>91</v>
      </c>
    </row>
    <row r="49" spans="1:4" ht="63">
      <c r="A49" s="669" t="s">
        <v>52</v>
      </c>
      <c r="B49" s="670">
        <f>((G26/12*6*100.2134)+(G26/12*6*104.2268))+((G26/12*6*100.2134)+(G26/12*6*104.2268))/1.302*25%</f>
        <v>59631.004481511511</v>
      </c>
      <c r="C49" s="458" t="s">
        <v>852</v>
      </c>
      <c r="D49" s="629"/>
    </row>
    <row r="50" spans="1:4">
      <c r="A50" s="117" t="s">
        <v>53</v>
      </c>
      <c r="B50" s="99">
        <f>SUM(B45:B49)</f>
        <v>229299.42860951152</v>
      </c>
      <c r="C50" s="671"/>
      <c r="D50" s="672"/>
    </row>
    <row r="51" spans="1:4">
      <c r="A51" s="669" t="s">
        <v>54</v>
      </c>
      <c r="B51" s="109"/>
      <c r="C51" s="671"/>
      <c r="D51" s="672"/>
    </row>
    <row r="52" spans="1:4">
      <c r="A52" s="673" t="s">
        <v>501</v>
      </c>
      <c r="B52" s="674"/>
      <c r="C52" s="675"/>
      <c r="D52" s="676"/>
    </row>
    <row r="53" spans="1:4" s="651" customFormat="1">
      <c r="A53" s="669" t="s">
        <v>502</v>
      </c>
      <c r="B53" s="121"/>
      <c r="C53" s="677"/>
      <c r="D53" s="672"/>
    </row>
    <row r="54" spans="1:4">
      <c r="A54" s="669" t="s">
        <v>57</v>
      </c>
      <c r="B54" s="121"/>
      <c r="C54" s="677"/>
      <c r="D54" s="672"/>
    </row>
    <row r="55" spans="1:4">
      <c r="A55" s="669" t="s">
        <v>58</v>
      </c>
      <c r="B55" s="121"/>
      <c r="C55" s="677"/>
      <c r="D55" s="672"/>
    </row>
    <row r="56" spans="1:4">
      <c r="A56" s="669" t="s">
        <v>59</v>
      </c>
      <c r="B56" s="121"/>
      <c r="C56" s="677"/>
      <c r="D56" s="672"/>
    </row>
    <row r="57" spans="1:4">
      <c r="A57" s="117" t="s">
        <v>60</v>
      </c>
      <c r="B57" s="132">
        <f>B52+B53</f>
        <v>0</v>
      </c>
      <c r="C57" s="677"/>
      <c r="D57" s="672"/>
    </row>
    <row r="58" spans="1:4">
      <c r="A58" s="131" t="s">
        <v>61</v>
      </c>
      <c r="B58" s="121">
        <f>3.051*(B13+B12)</f>
        <v>11736.891900000001</v>
      </c>
      <c r="C58" s="122" t="s">
        <v>853</v>
      </c>
      <c r="D58" s="672"/>
    </row>
    <row r="59" spans="1:4">
      <c r="A59" s="678" t="s">
        <v>62</v>
      </c>
      <c r="B59" s="121">
        <f>1.54*(B13+B12)</f>
        <v>5924.2260000000006</v>
      </c>
      <c r="C59" s="200" t="s">
        <v>854</v>
      </c>
      <c r="D59" s="672"/>
    </row>
    <row r="60" spans="1:4">
      <c r="A60" s="679" t="s">
        <v>63</v>
      </c>
      <c r="B60" s="457">
        <f>(B43+B50)*0.348</f>
        <v>190740.45025639335</v>
      </c>
      <c r="C60" s="653" t="s">
        <v>514</v>
      </c>
      <c r="D60" s="672"/>
    </row>
    <row r="61" spans="1:4" ht="31.5">
      <c r="A61" s="679" t="s">
        <v>121</v>
      </c>
      <c r="B61" s="121">
        <f>(B43+B50+B57+B60)*0.132</f>
        <v>97527.56539316554</v>
      </c>
      <c r="C61" s="677" t="s">
        <v>503</v>
      </c>
      <c r="D61" s="672" t="s">
        <v>85</v>
      </c>
    </row>
    <row r="62" spans="1:4">
      <c r="A62" s="680" t="s">
        <v>122</v>
      </c>
      <c r="B62" s="681">
        <f>SUM(B58:B61)</f>
        <v>305929.13354955893</v>
      </c>
      <c r="C62" s="653"/>
      <c r="D62" s="629"/>
    </row>
    <row r="63" spans="1:4">
      <c r="A63" s="636" t="s">
        <v>64</v>
      </c>
      <c r="B63" s="457">
        <f>(B43+B50+B57+B62)*3%</f>
        <v>25621.016269968954</v>
      </c>
      <c r="C63" s="653"/>
      <c r="D63" s="629"/>
    </row>
    <row r="64" spans="1:4">
      <c r="A64" s="680" t="s">
        <v>26</v>
      </c>
      <c r="B64" s="682">
        <f>B43+B50+B57+B62+B63</f>
        <v>879654.89193560078</v>
      </c>
      <c r="C64" s="683"/>
      <c r="D64" s="629"/>
    </row>
    <row r="65" spans="1:4">
      <c r="A65" s="680" t="s">
        <v>475</v>
      </c>
      <c r="B65" s="682">
        <f>B64*1.2</f>
        <v>1055585.8703227208</v>
      </c>
      <c r="C65" s="683"/>
      <c r="D65" s="629"/>
    </row>
    <row r="66" spans="1:4">
      <c r="A66" s="656"/>
      <c r="B66" s="681">
        <f>B28-B65</f>
        <v>-195083.59432272078</v>
      </c>
      <c r="C66" s="640"/>
      <c r="D66" s="629"/>
    </row>
    <row r="67" spans="1:4" ht="31.5">
      <c r="A67" s="684" t="s">
        <v>123</v>
      </c>
      <c r="B67" s="685">
        <f>B65/(B12+B13)/12</f>
        <v>22.866591071657719</v>
      </c>
      <c r="C67" s="686" t="s">
        <v>855</v>
      </c>
      <c r="D67" s="687"/>
    </row>
    <row r="68" spans="1:4">
      <c r="A68" s="688"/>
      <c r="B68" s="689"/>
      <c r="C68" s="690"/>
      <c r="D68" s="691"/>
    </row>
    <row r="69" spans="1:4">
      <c r="A69" s="688"/>
      <c r="B69" s="689"/>
      <c r="C69" s="690"/>
      <c r="D69" s="691"/>
    </row>
    <row r="70" spans="1:4">
      <c r="A70" s="805" t="s">
        <v>124</v>
      </c>
      <c r="B70" s="805"/>
      <c r="C70" s="805"/>
      <c r="D70" s="692"/>
    </row>
    <row r="71" spans="1:4">
      <c r="A71" s="806" t="s">
        <v>518</v>
      </c>
      <c r="B71" s="806"/>
      <c r="C71" s="806"/>
      <c r="D71" s="806"/>
    </row>
    <row r="72" spans="1:4">
      <c r="A72" s="806" t="s">
        <v>856</v>
      </c>
      <c r="B72" s="806"/>
      <c r="C72" s="806"/>
      <c r="D72" s="806"/>
    </row>
    <row r="73" spans="1:4">
      <c r="A73" s="693"/>
      <c r="B73" s="694"/>
      <c r="C73" s="618"/>
    </row>
    <row r="74" spans="1:4" s="619" customFormat="1">
      <c r="A74" s="693"/>
      <c r="B74" s="694"/>
      <c r="C74" s="618"/>
    </row>
    <row r="75" spans="1:4" s="619" customFormat="1">
      <c r="A75" s="74"/>
      <c r="B75" s="695"/>
      <c r="C75" s="70"/>
    </row>
    <row r="76" spans="1:4" s="619" customFormat="1">
      <c r="A76" s="804" t="s">
        <v>505</v>
      </c>
      <c r="B76" s="804"/>
      <c r="C76" s="804"/>
    </row>
    <row r="77" spans="1:4" s="619" customFormat="1">
      <c r="A77" s="70"/>
      <c r="B77" s="70"/>
      <c r="C77" s="70"/>
    </row>
    <row r="78" spans="1:4" s="619" customFormat="1">
      <c r="A78" s="692"/>
      <c r="B78" s="692"/>
      <c r="C78" s="692"/>
    </row>
    <row r="79" spans="1:4" s="619" customFormat="1">
      <c r="A79" s="692"/>
      <c r="B79" s="692"/>
      <c r="C79" s="692"/>
    </row>
    <row r="80" spans="1:4" s="619" customFormat="1">
      <c r="A80" s="692"/>
      <c r="B80" s="692"/>
      <c r="C80" s="692"/>
    </row>
    <row r="81" spans="1:3" s="619" customFormat="1">
      <c r="A81" s="692"/>
      <c r="B81" s="692"/>
      <c r="C81" s="692"/>
    </row>
    <row r="82" spans="1:3" s="619" customFormat="1">
      <c r="A82" s="692"/>
      <c r="B82" s="692"/>
      <c r="C82" s="692"/>
    </row>
    <row r="83" spans="1:3" s="619" customFormat="1">
      <c r="A83" s="692"/>
      <c r="B83" s="692"/>
      <c r="C83" s="692"/>
    </row>
    <row r="84" spans="1:3" s="619" customFormat="1"/>
    <row r="85" spans="1:3" s="619" customFormat="1"/>
    <row r="86" spans="1:3" s="619" customFormat="1"/>
    <row r="87" spans="1:3" s="619" customFormat="1"/>
    <row r="88" spans="1:3" s="619" customFormat="1"/>
    <row r="89" spans="1:3" s="619" customFormat="1"/>
    <row r="90" spans="1:3" s="619" customFormat="1"/>
    <row r="91" spans="1:3" s="619" customFormat="1"/>
    <row r="92" spans="1:3" s="619" customFormat="1"/>
    <row r="93" spans="1:3" s="619" customFormat="1"/>
    <row r="94" spans="1:3" s="619" customFormat="1"/>
    <row r="95" spans="1:3" s="619" customFormat="1"/>
    <row r="96" spans="1:3" s="619" customFormat="1"/>
  </sheetData>
  <mergeCells count="6">
    <mergeCell ref="A76:C76"/>
    <mergeCell ref="A7:D8"/>
    <mergeCell ref="A9:D9"/>
    <mergeCell ref="A70:C70"/>
    <mergeCell ref="A71:D71"/>
    <mergeCell ref="A72:D72"/>
  </mergeCells>
  <pageMargins left="0.51181102362204722" right="0.11811023622047244" top="0.15748031496062992" bottom="0.15748031496062992" header="0.31496062992125984" footer="0.31496062992125984"/>
  <pageSetup paperSize="9" scale="75" orientation="portrait" horizontalDpi="0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G91"/>
  <sheetViews>
    <sheetView workbookViewId="0">
      <selection activeCell="E29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" style="67" customWidth="1"/>
    <col min="5" max="5" width="5.57031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4" ht="15.75">
      <c r="C1" s="163" t="s">
        <v>0</v>
      </c>
    </row>
    <row r="2" spans="1:4" ht="15.75">
      <c r="C2" s="163" t="s">
        <v>216</v>
      </c>
    </row>
    <row r="3" spans="1:4" ht="15.75">
      <c r="C3" s="163" t="s">
        <v>189</v>
      </c>
    </row>
    <row r="4" spans="1:4" ht="15.75">
      <c r="C4" s="163"/>
    </row>
    <row r="5" spans="1:4" ht="15.75">
      <c r="C5" s="163" t="s">
        <v>217</v>
      </c>
    </row>
    <row r="6" spans="1:4" ht="15.75">
      <c r="C6" s="70"/>
    </row>
    <row r="7" spans="1:4" ht="15.75">
      <c r="C7" s="70"/>
    </row>
    <row r="8" spans="1:4" ht="15.75">
      <c r="A8" s="798" t="s">
        <v>478</v>
      </c>
      <c r="B8" s="798"/>
      <c r="C8" s="798"/>
      <c r="D8" s="798"/>
    </row>
    <row r="9" spans="1:4">
      <c r="A9" s="798" t="s">
        <v>103</v>
      </c>
      <c r="B9" s="798"/>
      <c r="C9" s="798"/>
      <c r="D9" s="798"/>
    </row>
    <row r="10" spans="1:4">
      <c r="A10" s="798"/>
      <c r="B10" s="798"/>
      <c r="C10" s="798"/>
      <c r="D10" s="798"/>
    </row>
    <row r="11" spans="1:4" ht="15.75">
      <c r="A11" s="73"/>
      <c r="B11" s="73"/>
      <c r="C11" s="73"/>
    </row>
    <row r="12" spans="1:4" ht="15.75">
      <c r="A12" s="74" t="s">
        <v>2</v>
      </c>
      <c r="B12" s="75">
        <v>3826.4</v>
      </c>
      <c r="C12" s="76" t="s">
        <v>72</v>
      </c>
    </row>
    <row r="13" spans="1:4" s="59" customFormat="1" ht="15.75">
      <c r="A13" s="77" t="s">
        <v>3</v>
      </c>
      <c r="B13" s="78">
        <v>0</v>
      </c>
      <c r="C13" s="79"/>
      <c r="D13" s="80"/>
    </row>
    <row r="14" spans="1:4" s="59" customFormat="1" ht="15.75">
      <c r="A14" s="77"/>
      <c r="B14" s="78"/>
      <c r="C14" s="79"/>
      <c r="D14" s="80"/>
    </row>
    <row r="15" spans="1:4" ht="31.5">
      <c r="A15" s="81" t="s">
        <v>4</v>
      </c>
      <c r="B15" s="82" t="s">
        <v>5</v>
      </c>
      <c r="C15" s="83" t="s">
        <v>661</v>
      </c>
      <c r="D15" s="84" t="s">
        <v>84</v>
      </c>
    </row>
    <row r="16" spans="1:4">
      <c r="A16" s="85" t="s">
        <v>7</v>
      </c>
      <c r="B16" s="149">
        <f>B12*G20*12</f>
        <v>1035423.8400000001</v>
      </c>
      <c r="C16" s="207" t="s">
        <v>372</v>
      </c>
      <c r="D16" s="86" t="s">
        <v>85</v>
      </c>
    </row>
    <row r="17" spans="1:7">
      <c r="A17" s="91" t="s">
        <v>9</v>
      </c>
      <c r="B17" s="88">
        <f>B13</f>
        <v>0</v>
      </c>
      <c r="C17" s="89"/>
      <c r="D17" s="90"/>
    </row>
    <row r="18" spans="1:7" ht="15.75">
      <c r="A18" s="95" t="s">
        <v>12</v>
      </c>
      <c r="B18" s="586">
        <f>B16+B17</f>
        <v>1035423.8400000001</v>
      </c>
      <c r="C18" s="96"/>
      <c r="D18" s="90"/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457</v>
      </c>
      <c r="G19" s="248">
        <v>221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3" t="s">
        <v>132</v>
      </c>
      <c r="G20" s="254">
        <v>22.55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134</v>
      </c>
      <c r="G21" s="260">
        <v>3826.4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135</v>
      </c>
      <c r="G22" s="260">
        <v>72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136</v>
      </c>
      <c r="G23" s="260">
        <v>221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47" t="s">
        <v>459</v>
      </c>
      <c r="G24" s="248">
        <v>0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139</v>
      </c>
      <c r="G25" s="260">
        <v>662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140</v>
      </c>
      <c r="G26" s="260">
        <v>2</v>
      </c>
    </row>
    <row r="27" spans="1:7">
      <c r="A27" s="97" t="s">
        <v>24</v>
      </c>
      <c r="B27" s="1">
        <v>0</v>
      </c>
      <c r="C27" s="96"/>
      <c r="D27" s="90"/>
      <c r="F27" s="259" t="s">
        <v>141</v>
      </c>
      <c r="G27" s="260">
        <v>2</v>
      </c>
    </row>
    <row r="28" spans="1:7" ht="18.75">
      <c r="A28" s="98" t="s">
        <v>26</v>
      </c>
      <c r="B28" s="99">
        <f>B18+B19+B27</f>
        <v>1040613.6000000001</v>
      </c>
      <c r="C28" s="96"/>
      <c r="D28" s="90"/>
      <c r="F28" s="259" t="s">
        <v>142</v>
      </c>
      <c r="G28" s="260">
        <v>1480.3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143</v>
      </c>
      <c r="G29" s="277">
        <v>1042.3</v>
      </c>
    </row>
    <row r="30" spans="1:7">
      <c r="A30" s="102" t="s">
        <v>29</v>
      </c>
      <c r="B30" s="88"/>
      <c r="C30" s="103"/>
      <c r="D30" s="90"/>
      <c r="F30" s="259" t="s">
        <v>144</v>
      </c>
      <c r="G30" s="278">
        <v>0</v>
      </c>
    </row>
    <row r="31" spans="1:7" ht="51">
      <c r="A31" s="104" t="s">
        <v>30</v>
      </c>
      <c r="B31" s="599">
        <f>(G33*(3708+200)*1.5*1.15*1.083*1.302*6)+G33*((3708+200)*1.5*1.15*1.083*1.302*6)+(0.104*G28*12)</f>
        <v>61839.961440747611</v>
      </c>
      <c r="C31" s="497" t="s">
        <v>891</v>
      </c>
      <c r="D31" s="600" t="s">
        <v>86</v>
      </c>
      <c r="F31" s="259" t="s">
        <v>145</v>
      </c>
      <c r="G31" s="278">
        <v>478.41</v>
      </c>
    </row>
    <row r="32" spans="1:7" ht="25.5">
      <c r="A32" s="104" t="s">
        <v>31</v>
      </c>
      <c r="B32" s="601">
        <f>(G35*9921.13*6)+(G35*10317.11*6)</f>
        <v>64327.986263414627</v>
      </c>
      <c r="C32" s="176" t="s">
        <v>823</v>
      </c>
      <c r="D32" s="234"/>
      <c r="F32" s="259" t="s">
        <v>460</v>
      </c>
      <c r="G32" s="278">
        <v>8.73</v>
      </c>
    </row>
    <row r="33" spans="1:7" ht="38.25">
      <c r="A33" s="104" t="s">
        <v>32</v>
      </c>
      <c r="B33" s="175">
        <f>(G34*9921.13*6)+(G34*10317.11*6)+(G22*10.95538*12)*G27</f>
        <v>79645.616639999993</v>
      </c>
      <c r="C33" s="198" t="s">
        <v>892</v>
      </c>
      <c r="D33" s="234"/>
      <c r="F33" s="259" t="s">
        <v>461</v>
      </c>
      <c r="G33" s="278">
        <f>(G28/3+G29)/2920</f>
        <v>0.52593607305936074</v>
      </c>
    </row>
    <row r="34" spans="1:7">
      <c r="A34" s="104" t="s">
        <v>34</v>
      </c>
      <c r="B34" s="602">
        <f>(16.06+16.7)*G22</f>
        <v>2358.7199999999998</v>
      </c>
      <c r="C34" s="603" t="s">
        <v>468</v>
      </c>
      <c r="D34" s="234" t="s">
        <v>88</v>
      </c>
      <c r="F34" s="259" t="s">
        <v>148</v>
      </c>
      <c r="G34" s="278">
        <f>G22/144</f>
        <v>0.5</v>
      </c>
    </row>
    <row r="35" spans="1:7" ht="25.5">
      <c r="A35" s="104" t="s">
        <v>35</v>
      </c>
      <c r="B35" s="602">
        <f>(49.72+51.71)*2*0</f>
        <v>0</v>
      </c>
      <c r="C35" s="603" t="s">
        <v>469</v>
      </c>
      <c r="D35" s="234"/>
      <c r="F35" s="259" t="s">
        <v>149</v>
      </c>
      <c r="G35" s="279">
        <f>(270.6+163.8)/820</f>
        <v>0.52975609756097564</v>
      </c>
    </row>
    <row r="36" spans="1:7">
      <c r="A36" s="104" t="s">
        <v>36</v>
      </c>
      <c r="B36" s="604">
        <f>0.25*G37*12</f>
        <v>1344.9</v>
      </c>
      <c r="C36" s="605" t="s">
        <v>470</v>
      </c>
      <c r="D36" s="234" t="s">
        <v>85</v>
      </c>
      <c r="F36" s="247" t="s">
        <v>151</v>
      </c>
      <c r="G36" s="279">
        <v>9</v>
      </c>
    </row>
    <row r="37" spans="1:7">
      <c r="A37" s="106" t="s">
        <v>37</v>
      </c>
      <c r="B37" s="602">
        <f>2.34*G37*4</f>
        <v>4196.0879999999997</v>
      </c>
      <c r="C37" s="606" t="s">
        <v>471</v>
      </c>
      <c r="D37" s="234" t="s">
        <v>89</v>
      </c>
      <c r="F37" s="247" t="s">
        <v>462</v>
      </c>
      <c r="G37" s="279">
        <v>448.3</v>
      </c>
    </row>
    <row r="38" spans="1:7" ht="25.5">
      <c r="A38" s="607" t="s">
        <v>67</v>
      </c>
      <c r="B38" s="608">
        <f>(635.59*6+661.01*6)*G40</f>
        <v>7779.6</v>
      </c>
      <c r="C38" s="606" t="s">
        <v>476</v>
      </c>
      <c r="D38" s="234" t="s">
        <v>85</v>
      </c>
      <c r="F38" s="285" t="s">
        <v>463</v>
      </c>
      <c r="G38" s="286">
        <v>448.3</v>
      </c>
    </row>
    <row r="39" spans="1:7" ht="25.5">
      <c r="A39" s="607" t="s">
        <v>190</v>
      </c>
      <c r="B39" s="609">
        <f>(695.13*6+722.94*6)*G24</f>
        <v>0</v>
      </c>
      <c r="C39" s="606" t="s">
        <v>477</v>
      </c>
      <c r="D39" s="610" t="s">
        <v>85</v>
      </c>
      <c r="F39" s="289" t="s">
        <v>464</v>
      </c>
      <c r="G39" s="290">
        <v>24052</v>
      </c>
    </row>
    <row r="40" spans="1:7">
      <c r="A40" s="607" t="s">
        <v>158</v>
      </c>
      <c r="B40" s="199">
        <f>0</f>
        <v>0</v>
      </c>
      <c r="C40" s="89" t="s">
        <v>847</v>
      </c>
      <c r="D40" s="610" t="s">
        <v>85</v>
      </c>
      <c r="F40" s="247" t="s">
        <v>465</v>
      </c>
      <c r="G40" s="279">
        <v>1</v>
      </c>
    </row>
    <row r="41" spans="1:7">
      <c r="A41" s="611" t="s">
        <v>47</v>
      </c>
      <c r="B41" s="612">
        <f>SUM(B31:B40)</f>
        <v>221492.87234416223</v>
      </c>
      <c r="C41" s="96"/>
      <c r="D41" s="234"/>
      <c r="F41" s="247" t="s">
        <v>467</v>
      </c>
      <c r="G41" s="279">
        <v>2</v>
      </c>
    </row>
    <row r="42" spans="1:7">
      <c r="A42" s="104" t="s">
        <v>48</v>
      </c>
      <c r="B42" s="1"/>
      <c r="C42" s="96"/>
      <c r="D42" s="234"/>
    </row>
    <row r="43" spans="1:7" s="63" customFormat="1" ht="38.25">
      <c r="A43" s="112" t="s">
        <v>49</v>
      </c>
      <c r="B43" s="602">
        <f>(G32*100.2134*6)+(G32*104.2268*6)+(1.71*(B13+B12)*12)</f>
        <v>89226.305676000004</v>
      </c>
      <c r="C43" s="613" t="s">
        <v>893</v>
      </c>
      <c r="D43" s="614"/>
    </row>
    <row r="44" spans="1:7">
      <c r="A44" s="106" t="s">
        <v>50</v>
      </c>
      <c r="B44" s="1">
        <f>13.69*G25</f>
        <v>9062.7799999999988</v>
      </c>
      <c r="C44" s="615" t="s">
        <v>894</v>
      </c>
      <c r="D44" s="234" t="s">
        <v>90</v>
      </c>
    </row>
    <row r="45" spans="1:7" ht="89.25">
      <c r="A45" s="616" t="s">
        <v>120</v>
      </c>
      <c r="B45" s="4">
        <f>17.51*(B12+B13)</f>
        <v>67000.26400000001</v>
      </c>
      <c r="C45" s="96" t="s">
        <v>895</v>
      </c>
      <c r="D45" s="234"/>
    </row>
    <row r="46" spans="1:7" ht="51">
      <c r="A46" s="104" t="s">
        <v>51</v>
      </c>
      <c r="B46" s="478">
        <f>(654.11+263.56/3)*G39/1000</f>
        <v>17845.702093333333</v>
      </c>
      <c r="C46" s="511" t="s">
        <v>896</v>
      </c>
      <c r="D46" s="501" t="s">
        <v>91</v>
      </c>
    </row>
    <row r="47" spans="1:7" ht="51">
      <c r="A47" s="116" t="s">
        <v>52</v>
      </c>
      <c r="B47" s="617">
        <f>((G31/12*6*100.2134)+(G31/12*6*104.2268))+((G31/12*6*100.2134)+(G31/12*6*104.2268))/1.302*25%</f>
        <v>58293.117664847916</v>
      </c>
      <c r="C47" s="613" t="s">
        <v>897</v>
      </c>
      <c r="D47" s="234"/>
    </row>
    <row r="48" spans="1:7" ht="15.75">
      <c r="A48" s="117" t="s">
        <v>53</v>
      </c>
      <c r="B48" s="99">
        <f>B43+B44+B45+B46+B47</f>
        <v>241428.16943418124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32">
        <f>B50+B51</f>
        <v>0</v>
      </c>
      <c r="C55" s="122"/>
      <c r="D55" s="90"/>
    </row>
    <row r="56" spans="1:4">
      <c r="A56" s="123" t="s">
        <v>61</v>
      </c>
      <c r="B56" s="262">
        <f>3.051*(B12+0)</f>
        <v>11674.3464</v>
      </c>
      <c r="C56" s="301" t="s">
        <v>474</v>
      </c>
      <c r="D56" s="90"/>
    </row>
    <row r="57" spans="1:4">
      <c r="A57" s="124" t="s">
        <v>62</v>
      </c>
      <c r="B57" s="304">
        <f>1.54*(B12+0)</f>
        <v>5892.6559999999999</v>
      </c>
      <c r="C57" s="461" t="s">
        <v>517</v>
      </c>
      <c r="D57" s="90"/>
    </row>
    <row r="58" spans="1:4">
      <c r="A58" s="68" t="s">
        <v>63</v>
      </c>
      <c r="B58" s="262">
        <f>(B41+B48)*0.348</f>
        <v>161096.52253886353</v>
      </c>
      <c r="C58" s="301" t="s">
        <v>514</v>
      </c>
      <c r="D58" s="90"/>
    </row>
    <row r="59" spans="1:4" ht="38.25">
      <c r="A59" s="68" t="s">
        <v>121</v>
      </c>
      <c r="B59" s="125">
        <f>(B41+B48+B58)*0.132</f>
        <v>82370.318489871337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261033.84342873486</v>
      </c>
      <c r="C60" s="122"/>
      <c r="D60" s="90"/>
    </row>
    <row r="61" spans="1:4">
      <c r="A61" s="68" t="s">
        <v>64</v>
      </c>
      <c r="B61" s="88">
        <f>(B41+B48+B55+B60)*3%</f>
        <v>21718.646556212352</v>
      </c>
      <c r="C61" s="120"/>
      <c r="D61" s="90"/>
    </row>
    <row r="62" spans="1:4" ht="15.75">
      <c r="A62" s="128" t="s">
        <v>26</v>
      </c>
      <c r="B62" s="595">
        <f>B41+B48+B55+B60+B61</f>
        <v>745673.53176329075</v>
      </c>
      <c r="C62" s="130"/>
      <c r="D62" s="90"/>
    </row>
    <row r="63" spans="1:4" ht="15.75">
      <c r="A63" s="128" t="s">
        <v>65</v>
      </c>
      <c r="B63" s="595">
        <f>B62*1.2</f>
        <v>894808.23811594886</v>
      </c>
      <c r="C63" s="130"/>
      <c r="D63" s="90"/>
    </row>
    <row r="64" spans="1:4" ht="15.75">
      <c r="A64" s="131"/>
      <c r="B64" s="132">
        <f>B28-B63</f>
        <v>145805.36188405124</v>
      </c>
      <c r="C64" s="133"/>
      <c r="D64" s="90"/>
    </row>
    <row r="65" spans="1:4" ht="30">
      <c r="A65" s="134" t="s">
        <v>123</v>
      </c>
      <c r="B65" s="135">
        <f>B63/(B12+B13)/12</f>
        <v>19.487600140165448</v>
      </c>
      <c r="C65" s="136" t="s">
        <v>373</v>
      </c>
      <c r="D65" s="137"/>
    </row>
    <row r="66" spans="1:4">
      <c r="A66" s="138"/>
      <c r="D66" s="138"/>
    </row>
    <row r="67" spans="1:4">
      <c r="A67" s="799" t="s">
        <v>124</v>
      </c>
      <c r="B67" s="799"/>
      <c r="C67" s="799"/>
      <c r="D67" s="138"/>
    </row>
    <row r="68" spans="1:4" ht="27" customHeight="1">
      <c r="A68" s="800" t="s">
        <v>518</v>
      </c>
      <c r="B68" s="800"/>
      <c r="C68" s="800"/>
      <c r="D68" s="196"/>
    </row>
    <row r="69" spans="1:4" ht="27" customHeight="1">
      <c r="A69" s="800" t="s">
        <v>519</v>
      </c>
      <c r="B69" s="800"/>
      <c r="C69" s="800"/>
      <c r="D69" s="196"/>
    </row>
    <row r="70" spans="1:4">
      <c r="A70" s="160"/>
      <c r="B70" s="453"/>
      <c r="C70" s="193"/>
      <c r="D70" s="138"/>
    </row>
    <row r="71" spans="1:4">
      <c r="A71" s="797" t="s">
        <v>505</v>
      </c>
      <c r="B71" s="797"/>
      <c r="C71" s="797"/>
      <c r="D71" s="138"/>
    </row>
    <row r="72" spans="1:4">
      <c r="A72" s="193"/>
      <c r="B72" s="193"/>
      <c r="C72" s="193"/>
      <c r="D72" s="138"/>
    </row>
    <row r="73" spans="1:4">
      <c r="A73" s="58"/>
      <c r="B73" s="58"/>
      <c r="C73" s="58"/>
    </row>
    <row r="75" spans="1:4" ht="18.75">
      <c r="A75" s="170"/>
      <c r="B75" s="170"/>
      <c r="C75" s="170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</sheetData>
  <mergeCells count="6">
    <mergeCell ref="A71:C71"/>
    <mergeCell ref="A67:C67"/>
    <mergeCell ref="A8:D8"/>
    <mergeCell ref="A9:D10"/>
    <mergeCell ref="A68:C68"/>
    <mergeCell ref="A69:C69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</sheetPr>
  <dimension ref="A1:G88"/>
  <sheetViews>
    <sheetView topLeftCell="A8" workbookViewId="0">
      <selection activeCell="E8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" style="67" customWidth="1"/>
    <col min="5" max="5" width="2.710937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28.5" customHeight="1">
      <c r="A8" s="798" t="s">
        <v>478</v>
      </c>
      <c r="B8" s="798"/>
      <c r="C8" s="798"/>
      <c r="D8" s="798"/>
    </row>
    <row r="9" spans="1:7" ht="15" customHeight="1">
      <c r="A9" s="798" t="s">
        <v>104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4343.3999999999996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47" t="s">
        <v>457</v>
      </c>
      <c r="G15" s="248">
        <v>283</v>
      </c>
    </row>
    <row r="16" spans="1:7">
      <c r="A16" s="85" t="s">
        <v>7</v>
      </c>
      <c r="B16" s="149">
        <f>B12*G16*12</f>
        <v>1152912.0959999999</v>
      </c>
      <c r="C16" s="207" t="s">
        <v>898</v>
      </c>
      <c r="D16" s="86" t="s">
        <v>85</v>
      </c>
      <c r="F16" s="253" t="s">
        <v>132</v>
      </c>
      <c r="G16" s="254">
        <v>22.12</v>
      </c>
    </row>
    <row r="17" spans="1:7">
      <c r="A17" s="91" t="s">
        <v>9</v>
      </c>
      <c r="B17" s="88">
        <f>B13</f>
        <v>0</v>
      </c>
      <c r="C17" s="89"/>
      <c r="D17" s="90"/>
      <c r="F17" s="259" t="s">
        <v>134</v>
      </c>
      <c r="G17" s="260">
        <v>4343.3999999999996</v>
      </c>
    </row>
    <row r="18" spans="1:7" ht="15.75">
      <c r="A18" s="95" t="s">
        <v>12</v>
      </c>
      <c r="B18" s="586">
        <f>B16+B17</f>
        <v>1152912.0959999999</v>
      </c>
      <c r="C18" s="96"/>
      <c r="D18" s="90"/>
      <c r="F18" s="259" t="s">
        <v>135</v>
      </c>
      <c r="G18" s="260">
        <v>171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59" t="s">
        <v>136</v>
      </c>
      <c r="G19" s="260">
        <v>283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47" t="s">
        <v>459</v>
      </c>
      <c r="G20" s="248">
        <v>1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139</v>
      </c>
      <c r="G21" s="260">
        <v>703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140</v>
      </c>
      <c r="G22" s="260">
        <v>1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141</v>
      </c>
      <c r="G23" s="260">
        <v>1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142</v>
      </c>
      <c r="G24" s="260">
        <v>1614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143</v>
      </c>
      <c r="G25" s="277">
        <v>4136.7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144</v>
      </c>
      <c r="G26" s="278">
        <v>0</v>
      </c>
    </row>
    <row r="27" spans="1:7">
      <c r="A27" s="97" t="s">
        <v>24</v>
      </c>
      <c r="B27" s="1">
        <f>B28</f>
        <v>0</v>
      </c>
      <c r="C27" s="96"/>
      <c r="D27" s="90"/>
      <c r="F27" s="259" t="s">
        <v>145</v>
      </c>
      <c r="G27" s="278">
        <v>810.97</v>
      </c>
    </row>
    <row r="28" spans="1:7">
      <c r="A28" s="68"/>
      <c r="B28" s="1"/>
      <c r="C28" s="96"/>
      <c r="D28" s="90"/>
      <c r="F28" s="259" t="s">
        <v>460</v>
      </c>
      <c r="G28" s="278">
        <v>8.65</v>
      </c>
    </row>
    <row r="29" spans="1:7" ht="18.75">
      <c r="A29" s="98" t="s">
        <v>26</v>
      </c>
      <c r="B29" s="99">
        <f>B18+B19+B27</f>
        <v>1158101.8559999999</v>
      </c>
      <c r="C29" s="96"/>
      <c r="D29" s="90"/>
      <c r="F29" s="259" t="s">
        <v>461</v>
      </c>
      <c r="G29" s="278">
        <f>(G24/3+G25)/2920</f>
        <v>1.6009246575342466</v>
      </c>
    </row>
    <row r="30" spans="1:7" ht="15.75">
      <c r="A30" s="82" t="s">
        <v>27</v>
      </c>
      <c r="B30" s="100" t="s">
        <v>5</v>
      </c>
      <c r="C30" s="101" t="s">
        <v>28</v>
      </c>
      <c r="D30" s="90"/>
      <c r="F30" s="259" t="s">
        <v>148</v>
      </c>
      <c r="G30" s="278">
        <f>G18/144</f>
        <v>1.1875</v>
      </c>
    </row>
    <row r="31" spans="1:7">
      <c r="A31" s="102" t="s">
        <v>29</v>
      </c>
      <c r="B31" s="88"/>
      <c r="C31" s="103"/>
      <c r="D31" s="90"/>
      <c r="F31" s="259" t="s">
        <v>149</v>
      </c>
      <c r="G31" s="279">
        <f>(396.7+110.9)/820</f>
        <v>0.61902439024390243</v>
      </c>
    </row>
    <row r="32" spans="1:7" ht="51">
      <c r="A32" s="104" t="s">
        <v>30</v>
      </c>
      <c r="B32" s="599">
        <f>(G29*(3708+200)*1.5*1.15*1.083*1.302*6)+G29*((3708+200)*1.5*1.15*1.083*1.302*6)+(0.104*G24*12)</f>
        <v>184628.76213590655</v>
      </c>
      <c r="C32" s="497" t="s">
        <v>899</v>
      </c>
      <c r="D32" s="600" t="s">
        <v>86</v>
      </c>
      <c r="F32" s="247" t="s">
        <v>151</v>
      </c>
      <c r="G32" s="279">
        <v>9</v>
      </c>
    </row>
    <row r="33" spans="1:7" ht="25.5">
      <c r="A33" s="104" t="s">
        <v>31</v>
      </c>
      <c r="B33" s="601">
        <f>(G31*9921.13*6)+(G31*10317.11*6)</f>
        <v>75167.785053658532</v>
      </c>
      <c r="C33" s="176" t="s">
        <v>900</v>
      </c>
      <c r="D33" s="234"/>
      <c r="F33" s="247" t="s">
        <v>462</v>
      </c>
      <c r="G33" s="279">
        <v>597</v>
      </c>
    </row>
    <row r="34" spans="1:7" ht="38.25">
      <c r="A34" s="104" t="s">
        <v>32</v>
      </c>
      <c r="B34" s="175">
        <f>(G30*9921.13*6)+(G30*10317.11*6)+(G18*10.95538*12)*G23</f>
        <v>166677.89976</v>
      </c>
      <c r="C34" s="198" t="s">
        <v>901</v>
      </c>
      <c r="D34" s="234"/>
      <c r="F34" s="285" t="s">
        <v>463</v>
      </c>
      <c r="G34" s="286">
        <v>597</v>
      </c>
    </row>
    <row r="35" spans="1:7">
      <c r="A35" s="104" t="s">
        <v>34</v>
      </c>
      <c r="B35" s="602">
        <f>(16.06+16.7)*G18</f>
        <v>5601.96</v>
      </c>
      <c r="C35" s="603" t="s">
        <v>902</v>
      </c>
      <c r="D35" s="234" t="s">
        <v>88</v>
      </c>
      <c r="F35" s="289" t="s">
        <v>464</v>
      </c>
      <c r="G35" s="290">
        <v>17721</v>
      </c>
    </row>
    <row r="36" spans="1:7" ht="36.75" customHeight="1">
      <c r="A36" s="104" t="s">
        <v>35</v>
      </c>
      <c r="B36" s="602">
        <f>(49.72+51.71)*2*0</f>
        <v>0</v>
      </c>
      <c r="C36" s="603" t="s">
        <v>469</v>
      </c>
      <c r="D36" s="234"/>
      <c r="F36" s="247" t="s">
        <v>465</v>
      </c>
      <c r="G36" s="279">
        <v>1</v>
      </c>
    </row>
    <row r="37" spans="1:7">
      <c r="A37" s="104" t="s">
        <v>36</v>
      </c>
      <c r="B37" s="604">
        <f>0.25*G33*12</f>
        <v>1791</v>
      </c>
      <c r="C37" s="605" t="s">
        <v>903</v>
      </c>
      <c r="D37" s="234" t="s">
        <v>85</v>
      </c>
      <c r="F37" s="247" t="s">
        <v>467</v>
      </c>
      <c r="G37" s="279">
        <v>2</v>
      </c>
    </row>
    <row r="38" spans="1:7" ht="21" customHeight="1">
      <c r="A38" s="106" t="s">
        <v>37</v>
      </c>
      <c r="B38" s="602">
        <f>2.34*G33*4</f>
        <v>5587.92</v>
      </c>
      <c r="C38" s="606" t="s">
        <v>904</v>
      </c>
      <c r="D38" s="234" t="s">
        <v>89</v>
      </c>
    </row>
    <row r="39" spans="1:7" ht="25.5">
      <c r="A39" s="607" t="s">
        <v>67</v>
      </c>
      <c r="B39" s="608">
        <f>(635.59*6+661.01*6)*G36</f>
        <v>7779.6</v>
      </c>
      <c r="C39" s="606" t="s">
        <v>476</v>
      </c>
      <c r="D39" s="234" t="s">
        <v>85</v>
      </c>
    </row>
    <row r="40" spans="1:7" ht="25.5">
      <c r="A40" s="607" t="s">
        <v>190</v>
      </c>
      <c r="B40" s="609">
        <f>(695.13*6+722.94*6)*G20</f>
        <v>8508.42</v>
      </c>
      <c r="C40" s="606" t="s">
        <v>477</v>
      </c>
      <c r="D40" s="610" t="s">
        <v>85</v>
      </c>
    </row>
    <row r="41" spans="1:7">
      <c r="A41" s="607" t="s">
        <v>158</v>
      </c>
      <c r="B41" s="199">
        <f>0</f>
        <v>0</v>
      </c>
      <c r="C41" s="89" t="s">
        <v>847</v>
      </c>
      <c r="D41" s="610" t="s">
        <v>85</v>
      </c>
    </row>
    <row r="42" spans="1:7">
      <c r="A42" s="611" t="s">
        <v>47</v>
      </c>
      <c r="B42" s="612">
        <f>SUM(B32:B41)</f>
        <v>455743.34694956505</v>
      </c>
      <c r="C42" s="96"/>
      <c r="D42" s="234"/>
    </row>
    <row r="43" spans="1:7">
      <c r="A43" s="104" t="s">
        <v>48</v>
      </c>
      <c r="B43" s="1"/>
      <c r="C43" s="96"/>
      <c r="D43" s="234"/>
    </row>
    <row r="44" spans="1:7" ht="38.25">
      <c r="A44" s="112" t="s">
        <v>49</v>
      </c>
      <c r="B44" s="602">
        <f>(G28*100.2134*6)+(G28*104.2268*6)+(1.71*(B12+B13)*12)</f>
        <v>99737.014379999979</v>
      </c>
      <c r="C44" s="613" t="s">
        <v>905</v>
      </c>
      <c r="D44" s="614"/>
    </row>
    <row r="45" spans="1:7" ht="89.25">
      <c r="A45" s="616" t="s">
        <v>120</v>
      </c>
      <c r="B45" s="4">
        <f>17.51*(B13+B12)</f>
        <v>76052.933999999994</v>
      </c>
      <c r="C45" s="96" t="s">
        <v>906</v>
      </c>
      <c r="D45" s="234"/>
    </row>
    <row r="46" spans="1:7" ht="51">
      <c r="A46" s="104" t="s">
        <v>51</v>
      </c>
      <c r="B46" s="478">
        <f>(654.11+263.56/3)*G35/1000</f>
        <v>13148.33223</v>
      </c>
      <c r="C46" s="511" t="s">
        <v>907</v>
      </c>
      <c r="D46" s="501" t="s">
        <v>91</v>
      </c>
    </row>
    <row r="47" spans="1:7" ht="51">
      <c r="A47" s="116" t="s">
        <v>52</v>
      </c>
      <c r="B47" s="617">
        <f>((G27/12*6*100.2134)+(G27/12*6*104.2268))+((G27/12*6*100.2134)+(G27/12*6*104.2268))/1.302*25%</f>
        <v>98814.760629296477</v>
      </c>
      <c r="C47" s="613" t="s">
        <v>908</v>
      </c>
      <c r="D47" s="234"/>
    </row>
    <row r="48" spans="1:7" ht="15.75">
      <c r="A48" s="117" t="s">
        <v>53</v>
      </c>
      <c r="B48" s="99">
        <f>SUM(B44:B47)</f>
        <v>287753.04123929644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21">
        <f>B50+B51</f>
        <v>0</v>
      </c>
      <c r="C55" s="122"/>
      <c r="D55" s="90"/>
    </row>
    <row r="56" spans="1:4">
      <c r="A56" s="123" t="s">
        <v>61</v>
      </c>
      <c r="B56" s="262">
        <f>3.051*(B12+0)</f>
        <v>13251.713399999999</v>
      </c>
      <c r="C56" s="301" t="s">
        <v>909</v>
      </c>
      <c r="D56" s="90"/>
    </row>
    <row r="57" spans="1:4">
      <c r="A57" s="124" t="s">
        <v>62</v>
      </c>
      <c r="B57" s="304">
        <f>1.54*(B12+0)</f>
        <v>6688.8359999999993</v>
      </c>
      <c r="C57" s="461" t="s">
        <v>910</v>
      </c>
      <c r="D57" s="90"/>
    </row>
    <row r="58" spans="1:4">
      <c r="A58" s="68" t="s">
        <v>63</v>
      </c>
      <c r="B58" s="262">
        <f>(B42+B48)*0.348</f>
        <v>258736.74308972381</v>
      </c>
      <c r="C58" s="301" t="s">
        <v>514</v>
      </c>
      <c r="D58" s="90"/>
    </row>
    <row r="59" spans="1:4" ht="38.25">
      <c r="A59" s="68" t="s">
        <v>121</v>
      </c>
      <c r="B59" s="125">
        <f>(B42+B48+B58)*0.132</f>
        <v>132294.77332877327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410972.0658184971</v>
      </c>
      <c r="C60" s="122"/>
      <c r="D60" s="90"/>
    </row>
    <row r="61" spans="1:4">
      <c r="A61" s="68" t="s">
        <v>64</v>
      </c>
      <c r="B61" s="88">
        <f>(B42+B48+B55+B60)*3%</f>
        <v>34634.053620220759</v>
      </c>
      <c r="C61" s="120"/>
      <c r="D61" s="90"/>
    </row>
    <row r="62" spans="1:4" ht="15.75">
      <c r="A62" s="128" t="s">
        <v>26</v>
      </c>
      <c r="B62" s="595">
        <f>B42+B48+B55+B60+B61</f>
        <v>1189102.5076275796</v>
      </c>
      <c r="C62" s="130"/>
      <c r="D62" s="90"/>
    </row>
    <row r="63" spans="1:4" ht="15.75">
      <c r="A63" s="128" t="s">
        <v>65</v>
      </c>
      <c r="B63" s="595">
        <f>B62*1.2</f>
        <v>1426923.0091530955</v>
      </c>
      <c r="C63" s="130"/>
      <c r="D63" s="90"/>
    </row>
    <row r="64" spans="1:4" ht="15.75">
      <c r="A64" s="131"/>
      <c r="B64" s="132">
        <f>B29-B63</f>
        <v>-268821.15315309563</v>
      </c>
      <c r="C64" s="133"/>
      <c r="D64" s="90"/>
    </row>
    <row r="65" spans="1:4" ht="30">
      <c r="A65" s="134" t="s">
        <v>123</v>
      </c>
      <c r="B65" s="135">
        <f>B63/(B12+B13)/12</f>
        <v>27.377227693226036</v>
      </c>
      <c r="C65" s="136" t="s">
        <v>374</v>
      </c>
      <c r="D65" s="137"/>
    </row>
    <row r="66" spans="1:4">
      <c r="A66" s="138"/>
      <c r="D66" s="138"/>
    </row>
    <row r="67" spans="1:4" ht="15" customHeight="1">
      <c r="A67" s="799" t="s">
        <v>124</v>
      </c>
      <c r="B67" s="799"/>
      <c r="C67" s="799"/>
      <c r="D67" s="138"/>
    </row>
    <row r="68" spans="1:4" ht="30" customHeight="1">
      <c r="A68" s="800" t="s">
        <v>518</v>
      </c>
      <c r="B68" s="800"/>
      <c r="C68" s="800"/>
      <c r="D68" s="196"/>
    </row>
    <row r="69" spans="1:4" ht="30" customHeight="1">
      <c r="A69" s="800" t="s">
        <v>519</v>
      </c>
      <c r="B69" s="800"/>
      <c r="C69" s="800"/>
      <c r="D69" s="196"/>
    </row>
    <row r="70" spans="1:4" ht="24" customHeight="1">
      <c r="A70" s="160"/>
      <c r="B70" s="453"/>
      <c r="C70" s="193"/>
      <c r="D70" s="138"/>
    </row>
    <row r="71" spans="1:4" ht="24" customHeight="1">
      <c r="A71" s="797" t="s">
        <v>505</v>
      </c>
      <c r="B71" s="797"/>
      <c r="C71" s="797"/>
      <c r="D71" s="138"/>
    </row>
    <row r="81" spans="1:4" s="65" customFormat="1">
      <c r="A81" s="66"/>
      <c r="B81" s="66"/>
      <c r="C81" s="66"/>
      <c r="D81" s="67"/>
    </row>
    <row r="82" spans="1:4" s="65" customFormat="1">
      <c r="A82" s="66"/>
      <c r="B82" s="66"/>
      <c r="C82" s="66"/>
      <c r="D82" s="67"/>
    </row>
    <row r="83" spans="1:4" s="65" customFormat="1">
      <c r="A83" s="66"/>
      <c r="B83" s="66"/>
      <c r="C83" s="66"/>
      <c r="D83" s="67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</sheetData>
  <mergeCells count="6">
    <mergeCell ref="A71:C71"/>
    <mergeCell ref="A67:C67"/>
    <mergeCell ref="A8:D8"/>
    <mergeCell ref="A9:D10"/>
    <mergeCell ref="A68:C68"/>
    <mergeCell ref="A69:C69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F0"/>
  </sheetPr>
  <dimension ref="A1:G88"/>
  <sheetViews>
    <sheetView workbookViewId="0">
      <selection activeCell="E42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7.7109375" style="66" customWidth="1"/>
    <col min="5" max="5" width="3.710937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>
      <c r="C1" s="159" t="s">
        <v>0</v>
      </c>
    </row>
    <row r="2" spans="1:7">
      <c r="C2" s="159" t="s">
        <v>216</v>
      </c>
    </row>
    <row r="3" spans="1:7">
      <c r="C3" s="159" t="s">
        <v>189</v>
      </c>
    </row>
    <row r="4" spans="1:7">
      <c r="C4" s="159"/>
    </row>
    <row r="5" spans="1:7">
      <c r="C5" s="159" t="s">
        <v>217</v>
      </c>
    </row>
    <row r="6" spans="1:7">
      <c r="C6" s="193"/>
    </row>
    <row r="7" spans="1:7">
      <c r="C7" s="193"/>
    </row>
    <row r="8" spans="1:7">
      <c r="A8" s="801" t="s">
        <v>478</v>
      </c>
      <c r="B8" s="801"/>
      <c r="C8" s="801"/>
      <c r="D8" s="801"/>
    </row>
    <row r="9" spans="1:7">
      <c r="A9" s="801" t="s">
        <v>105</v>
      </c>
      <c r="B9" s="801"/>
      <c r="C9" s="801"/>
      <c r="D9" s="801"/>
    </row>
    <row r="10" spans="1:7">
      <c r="A10" s="801"/>
      <c r="B10" s="801"/>
      <c r="C10" s="801"/>
      <c r="D10" s="801"/>
    </row>
    <row r="11" spans="1:7">
      <c r="A11" s="237"/>
      <c r="B11" s="237"/>
      <c r="C11" s="237"/>
    </row>
    <row r="12" spans="1:7">
      <c r="A12" s="160" t="s">
        <v>2</v>
      </c>
      <c r="B12" s="238">
        <v>5724.4</v>
      </c>
      <c r="C12" s="463" t="s">
        <v>72</v>
      </c>
    </row>
    <row r="13" spans="1:7" s="59" customFormat="1">
      <c r="A13" s="464" t="s">
        <v>3</v>
      </c>
      <c r="B13" s="240">
        <v>0</v>
      </c>
      <c r="C13" s="241"/>
      <c r="D13" s="242"/>
    </row>
    <row r="14" spans="1:7" s="59" customFormat="1">
      <c r="A14" s="464"/>
      <c r="B14" s="240"/>
      <c r="C14" s="241"/>
      <c r="D14" s="242"/>
    </row>
    <row r="15" spans="1:7" ht="28.5">
      <c r="A15" s="243" t="s">
        <v>4</v>
      </c>
      <c r="B15" s="244" t="s">
        <v>5</v>
      </c>
      <c r="C15" s="245" t="s">
        <v>661</v>
      </c>
      <c r="D15" s="84" t="s">
        <v>84</v>
      </c>
      <c r="F15" s="253" t="s">
        <v>132</v>
      </c>
      <c r="G15" s="254">
        <v>22.06</v>
      </c>
    </row>
    <row r="16" spans="1:7">
      <c r="A16" s="249" t="s">
        <v>7</v>
      </c>
      <c r="B16" s="316">
        <f>B12*G15*12</f>
        <v>1515363.1679999998</v>
      </c>
      <c r="C16" s="755" t="s">
        <v>925</v>
      </c>
      <c r="D16" s="317" t="s">
        <v>85</v>
      </c>
      <c r="F16" s="259" t="s">
        <v>134</v>
      </c>
      <c r="G16" s="260">
        <v>5724.4</v>
      </c>
    </row>
    <row r="17" spans="1:7">
      <c r="A17" s="261" t="s">
        <v>9</v>
      </c>
      <c r="B17" s="318">
        <f>B13</f>
        <v>0</v>
      </c>
      <c r="C17" s="319"/>
      <c r="D17" s="320"/>
      <c r="F17" s="259" t="s">
        <v>135</v>
      </c>
      <c r="G17" s="260">
        <v>108</v>
      </c>
    </row>
    <row r="18" spans="1:7">
      <c r="A18" s="321" t="s">
        <v>12</v>
      </c>
      <c r="B18" s="322">
        <f>B16+B17</f>
        <v>1515363.1679999998</v>
      </c>
      <c r="C18" s="274"/>
      <c r="D18" s="320"/>
      <c r="F18" s="259" t="s">
        <v>136</v>
      </c>
      <c r="G18" s="260">
        <v>381</v>
      </c>
    </row>
    <row r="19" spans="1:7" ht="30">
      <c r="A19" s="275" t="s">
        <v>13</v>
      </c>
      <c r="B19" s="276">
        <f>B20+B21+B22+B23+B24+B25+B26</f>
        <v>5189.76</v>
      </c>
      <c r="C19" s="274"/>
      <c r="D19" s="320"/>
      <c r="F19" s="247" t="s">
        <v>459</v>
      </c>
      <c r="G19" s="248">
        <v>0</v>
      </c>
    </row>
    <row r="20" spans="1:7">
      <c r="A20" s="264" t="s">
        <v>14</v>
      </c>
      <c r="B20" s="276">
        <f>34.98*12</f>
        <v>419.76</v>
      </c>
      <c r="C20" s="274" t="s">
        <v>15</v>
      </c>
      <c r="D20" s="320" t="s">
        <v>85</v>
      </c>
      <c r="F20" s="259" t="s">
        <v>139</v>
      </c>
      <c r="G20" s="260">
        <v>926</v>
      </c>
    </row>
    <row r="21" spans="1:7">
      <c r="A21" s="264" t="s">
        <v>16</v>
      </c>
      <c r="B21" s="276">
        <f>137.5*12*0</f>
        <v>0</v>
      </c>
      <c r="C21" s="274" t="s">
        <v>17</v>
      </c>
      <c r="D21" s="320"/>
      <c r="F21" s="259" t="s">
        <v>140</v>
      </c>
      <c r="G21" s="260">
        <v>3</v>
      </c>
    </row>
    <row r="22" spans="1:7">
      <c r="A22" s="264" t="s">
        <v>18</v>
      </c>
      <c r="B22" s="276">
        <f>123.75*12</f>
        <v>1485</v>
      </c>
      <c r="C22" s="274" t="s">
        <v>19</v>
      </c>
      <c r="D22" s="320" t="s">
        <v>85</v>
      </c>
      <c r="F22" s="259" t="s">
        <v>141</v>
      </c>
      <c r="G22" s="260">
        <v>3</v>
      </c>
    </row>
    <row r="23" spans="1:7">
      <c r="A23" s="264" t="s">
        <v>20</v>
      </c>
      <c r="B23" s="276">
        <f>123.75*12</f>
        <v>1485</v>
      </c>
      <c r="C23" s="274" t="s">
        <v>19</v>
      </c>
      <c r="D23" s="320" t="s">
        <v>85</v>
      </c>
      <c r="F23" s="259" t="s">
        <v>142</v>
      </c>
      <c r="G23" s="260">
        <v>1094.5</v>
      </c>
    </row>
    <row r="24" spans="1:7">
      <c r="A24" s="264" t="s">
        <v>66</v>
      </c>
      <c r="B24" s="276">
        <f>150*12</f>
        <v>1800</v>
      </c>
      <c r="C24" s="274" t="s">
        <v>21</v>
      </c>
      <c r="D24" s="320" t="s">
        <v>85</v>
      </c>
      <c r="F24" s="259" t="s">
        <v>143</v>
      </c>
      <c r="G24" s="277">
        <v>3529.8</v>
      </c>
    </row>
    <row r="25" spans="1:7">
      <c r="A25" s="264" t="s">
        <v>22</v>
      </c>
      <c r="B25" s="276">
        <f>137.5*12*0</f>
        <v>0</v>
      </c>
      <c r="C25" s="274" t="s">
        <v>17</v>
      </c>
      <c r="D25" s="320"/>
      <c r="F25" s="259" t="s">
        <v>144</v>
      </c>
      <c r="G25" s="278">
        <v>0</v>
      </c>
    </row>
    <row r="26" spans="1:7">
      <c r="A26" s="264" t="s">
        <v>23</v>
      </c>
      <c r="B26" s="276">
        <f>150*12*0</f>
        <v>0</v>
      </c>
      <c r="C26" s="274" t="s">
        <v>21</v>
      </c>
      <c r="D26" s="320"/>
      <c r="F26" s="259" t="s">
        <v>145</v>
      </c>
      <c r="G26" s="278">
        <v>714.13</v>
      </c>
    </row>
    <row r="27" spans="1:7">
      <c r="A27" s="275" t="s">
        <v>24</v>
      </c>
      <c r="B27" s="276">
        <v>0</v>
      </c>
      <c r="C27" s="274"/>
      <c r="D27" s="320"/>
      <c r="F27" s="259" t="s">
        <v>460</v>
      </c>
      <c r="G27" s="278">
        <v>13.24</v>
      </c>
    </row>
    <row r="28" spans="1:7">
      <c r="A28" s="292" t="s">
        <v>26</v>
      </c>
      <c r="B28" s="322">
        <f>B18+B19+B27</f>
        <v>1520552.9279999998</v>
      </c>
      <c r="C28" s="274"/>
      <c r="D28" s="320"/>
      <c r="F28" s="259" t="s">
        <v>461</v>
      </c>
      <c r="G28" s="278">
        <f>(G23/3+G24)/2920</f>
        <v>1.3337785388127854</v>
      </c>
    </row>
    <row r="29" spans="1:7">
      <c r="A29" s="244" t="s">
        <v>27</v>
      </c>
      <c r="B29" s="281" t="s">
        <v>5</v>
      </c>
      <c r="C29" s="282" t="s">
        <v>28</v>
      </c>
      <c r="D29" s="320"/>
      <c r="F29" s="259" t="s">
        <v>148</v>
      </c>
      <c r="G29" s="278">
        <f>G17/144</f>
        <v>0.75</v>
      </c>
    </row>
    <row r="30" spans="1:7">
      <c r="A30" s="323" t="s">
        <v>29</v>
      </c>
      <c r="B30" s="262"/>
      <c r="C30" s="284"/>
      <c r="D30" s="320"/>
      <c r="F30" s="259" t="s">
        <v>149</v>
      </c>
      <c r="G30" s="279">
        <f>(651+0)/820</f>
        <v>0.79390243902439028</v>
      </c>
    </row>
    <row r="31" spans="1:7" ht="75">
      <c r="A31" s="287" t="s">
        <v>30</v>
      </c>
      <c r="B31" s="410">
        <f>(G28*(3708+200)*1.5*1.15*1.083*1.302*6)+(G28*(3856+200)*1.5*1.15*1.083*1.302*6)+(0.104*G23*12)</f>
        <v>156388.44698670373</v>
      </c>
      <c r="C31" s="341" t="s">
        <v>911</v>
      </c>
      <c r="D31" s="377" t="s">
        <v>86</v>
      </c>
      <c r="F31" s="247" t="s">
        <v>151</v>
      </c>
      <c r="G31" s="279">
        <v>9</v>
      </c>
    </row>
    <row r="32" spans="1:7" ht="30">
      <c r="A32" s="287" t="s">
        <v>31</v>
      </c>
      <c r="B32" s="342">
        <f>(G30*9921.13*6)+(G30*10317.11*6)</f>
        <v>96403.128585365863</v>
      </c>
      <c r="C32" s="344" t="s">
        <v>912</v>
      </c>
      <c r="D32" s="377"/>
      <c r="F32" s="247" t="s">
        <v>462</v>
      </c>
      <c r="G32" s="279">
        <v>906</v>
      </c>
    </row>
    <row r="33" spans="1:7" ht="45">
      <c r="A33" s="287" t="s">
        <v>32</v>
      </c>
      <c r="B33" s="455">
        <f>(G29*9921.13*6)+(G29*10317.11*6)+(G17*10.95538*12)*G22</f>
        <v>133666.59743999998</v>
      </c>
      <c r="C33" s="344" t="s">
        <v>913</v>
      </c>
      <c r="D33" s="377"/>
      <c r="F33" s="285" t="s">
        <v>463</v>
      </c>
      <c r="G33" s="286">
        <v>906</v>
      </c>
    </row>
    <row r="34" spans="1:7">
      <c r="A34" s="287" t="s">
        <v>34</v>
      </c>
      <c r="B34" s="413">
        <f>(16.06+16.7)*G17</f>
        <v>3538.08</v>
      </c>
      <c r="C34" s="385" t="s">
        <v>914</v>
      </c>
      <c r="D34" s="377" t="s">
        <v>88</v>
      </c>
      <c r="F34" s="289" t="s">
        <v>464</v>
      </c>
      <c r="G34" s="290">
        <v>23433</v>
      </c>
    </row>
    <row r="35" spans="1:7" ht="30">
      <c r="A35" s="287" t="s">
        <v>35</v>
      </c>
      <c r="B35" s="413">
        <f>(49.72+51.71)*2*G25*0</f>
        <v>0</v>
      </c>
      <c r="C35" s="385" t="s">
        <v>469</v>
      </c>
      <c r="D35" s="377"/>
      <c r="F35" s="247" t="s">
        <v>465</v>
      </c>
      <c r="G35" s="279">
        <v>2</v>
      </c>
    </row>
    <row r="36" spans="1:7">
      <c r="A36" s="287" t="s">
        <v>36</v>
      </c>
      <c r="B36" s="413">
        <f>0.25*G33*12</f>
        <v>2718</v>
      </c>
      <c r="C36" s="385" t="s">
        <v>915</v>
      </c>
      <c r="D36" s="377" t="s">
        <v>85</v>
      </c>
      <c r="F36" s="247" t="s">
        <v>467</v>
      </c>
      <c r="G36" s="279">
        <v>2</v>
      </c>
    </row>
    <row r="37" spans="1:7">
      <c r="A37" s="291" t="s">
        <v>37</v>
      </c>
      <c r="B37" s="413">
        <f>2.34*G33*4</f>
        <v>8480.16</v>
      </c>
      <c r="C37" s="385" t="s">
        <v>916</v>
      </c>
      <c r="D37" s="377" t="s">
        <v>89</v>
      </c>
    </row>
    <row r="38" spans="1:7" ht="45">
      <c r="A38" s="417" t="s">
        <v>67</v>
      </c>
      <c r="B38" s="381">
        <f>(635.59*6+661.01*6)*G36</f>
        <v>15559.2</v>
      </c>
      <c r="C38" s="385" t="s">
        <v>844</v>
      </c>
      <c r="D38" s="377" t="s">
        <v>85</v>
      </c>
    </row>
    <row r="39" spans="1:7" ht="30">
      <c r="A39" s="417" t="s">
        <v>190</v>
      </c>
      <c r="B39" s="351">
        <f>(466.1*6+484.74*6)*G35</f>
        <v>11410.080000000002</v>
      </c>
      <c r="C39" s="385" t="s">
        <v>845</v>
      </c>
      <c r="D39" s="377" t="s">
        <v>85</v>
      </c>
    </row>
    <row r="40" spans="1:7">
      <c r="A40" s="385" t="s">
        <v>529</v>
      </c>
      <c r="B40" s="383">
        <f>3750*12*G21</f>
        <v>135000</v>
      </c>
      <c r="C40" s="417" t="s">
        <v>917</v>
      </c>
      <c r="D40" s="567" t="s">
        <v>85</v>
      </c>
    </row>
    <row r="41" spans="1:7">
      <c r="A41" s="385" t="s">
        <v>530</v>
      </c>
      <c r="B41" s="592">
        <f>4190*G21</f>
        <v>12570</v>
      </c>
      <c r="C41" s="417" t="s">
        <v>130</v>
      </c>
      <c r="D41" s="747" t="s">
        <v>532</v>
      </c>
    </row>
    <row r="42" spans="1:7">
      <c r="A42" s="748" t="s">
        <v>533</v>
      </c>
      <c r="B42" s="383">
        <v>0</v>
      </c>
      <c r="C42" s="739" t="s">
        <v>847</v>
      </c>
      <c r="D42" s="568" t="s">
        <v>159</v>
      </c>
    </row>
    <row r="43" spans="1:7" s="328" customFormat="1">
      <c r="A43" s="292" t="s">
        <v>47</v>
      </c>
      <c r="B43" s="322">
        <f>SUM(B31:B42)</f>
        <v>575733.69301206956</v>
      </c>
      <c r="C43" s="749"/>
      <c r="D43" s="377"/>
    </row>
    <row r="44" spans="1:7">
      <c r="A44" s="287" t="s">
        <v>48</v>
      </c>
      <c r="B44" s="276"/>
      <c r="C44" s="749"/>
      <c r="D44" s="377"/>
    </row>
    <row r="45" spans="1:7" ht="60">
      <c r="A45" s="293" t="s">
        <v>49</v>
      </c>
      <c r="B45" s="413">
        <f>(G27*100.2134*6)+(G27*104.2268*6)+(1.71*(B12+B13)*12)</f>
        <v>133705.41748799998</v>
      </c>
      <c r="C45" s="424" t="s">
        <v>918</v>
      </c>
      <c r="D45" s="423"/>
    </row>
    <row r="46" spans="1:7">
      <c r="A46" s="291" t="s">
        <v>50</v>
      </c>
      <c r="B46" s="276">
        <f>15.92*G14*0</f>
        <v>0</v>
      </c>
      <c r="C46" s="424" t="s">
        <v>919</v>
      </c>
      <c r="D46" s="377" t="s">
        <v>90</v>
      </c>
    </row>
    <row r="47" spans="1:7" ht="120">
      <c r="A47" s="426" t="s">
        <v>120</v>
      </c>
      <c r="B47" s="596">
        <f>17.51*(B13+B12)</f>
        <v>100234.24400000001</v>
      </c>
      <c r="C47" s="745" t="s">
        <v>920</v>
      </c>
      <c r="D47" s="377"/>
    </row>
    <row r="48" spans="1:7" ht="60">
      <c r="A48" s="287" t="s">
        <v>51</v>
      </c>
      <c r="B48" s="440">
        <f>(654.11+263.56/3)*G34/1000</f>
        <v>17386.426789999998</v>
      </c>
      <c r="C48" s="424" t="s">
        <v>921</v>
      </c>
      <c r="D48" s="417" t="s">
        <v>91</v>
      </c>
    </row>
    <row r="49" spans="1:4" ht="75">
      <c r="A49" s="296" t="s">
        <v>52</v>
      </c>
      <c r="B49" s="431">
        <f>((G26/12*6*100.2134)+(G26/12*6*104.2268))+((G26/12*6*100.2134)+(G26/12*6*104.2268))/1.302*25%</f>
        <v>87015.037557738848</v>
      </c>
      <c r="C49" s="424" t="s">
        <v>922</v>
      </c>
      <c r="D49" s="377"/>
    </row>
    <row r="50" spans="1:4" ht="15.75">
      <c r="A50" s="117" t="s">
        <v>53</v>
      </c>
      <c r="B50" s="99">
        <f>SUM(B45:B49)</f>
        <v>338341.12583573884</v>
      </c>
      <c r="C50" s="110"/>
      <c r="D50" s="90"/>
    </row>
    <row r="51" spans="1:4">
      <c r="A51" s="116" t="s">
        <v>54</v>
      </c>
      <c r="B51" s="1"/>
      <c r="C51" s="96"/>
      <c r="D51" s="90"/>
    </row>
    <row r="52" spans="1:4" s="329" customFormat="1">
      <c r="A52" s="298" t="s">
        <v>55</v>
      </c>
      <c r="B52" s="299">
        <v>0</v>
      </c>
      <c r="C52" s="300"/>
      <c r="D52" s="317"/>
    </row>
    <row r="53" spans="1:4">
      <c r="A53" s="296" t="s">
        <v>56</v>
      </c>
      <c r="B53" s="262">
        <v>0</v>
      </c>
      <c r="C53" s="301"/>
      <c r="D53" s="320"/>
    </row>
    <row r="54" spans="1:4">
      <c r="A54" s="296" t="s">
        <v>57</v>
      </c>
      <c r="B54" s="262"/>
      <c r="C54" s="301"/>
      <c r="D54" s="320"/>
    </row>
    <row r="55" spans="1:4">
      <c r="A55" s="296" t="s">
        <v>58</v>
      </c>
      <c r="B55" s="262"/>
      <c r="C55" s="301"/>
      <c r="D55" s="320"/>
    </row>
    <row r="56" spans="1:4">
      <c r="A56" s="296" t="s">
        <v>59</v>
      </c>
      <c r="B56" s="262"/>
      <c r="C56" s="301"/>
      <c r="D56" s="320"/>
    </row>
    <row r="57" spans="1:4">
      <c r="A57" s="302" t="s">
        <v>60</v>
      </c>
      <c r="B57" s="307">
        <f>B52+B53</f>
        <v>0</v>
      </c>
      <c r="C57" s="301"/>
      <c r="D57" s="320"/>
    </row>
    <row r="58" spans="1:4">
      <c r="A58" s="303" t="s">
        <v>61</v>
      </c>
      <c r="B58" s="262">
        <f>3.051*(B12+0)</f>
        <v>17465.144400000001</v>
      </c>
      <c r="C58" s="301" t="s">
        <v>923</v>
      </c>
      <c r="D58" s="320"/>
    </row>
    <row r="59" spans="1:4">
      <c r="A59" s="460" t="s">
        <v>62</v>
      </c>
      <c r="B59" s="304">
        <f>1.54*(B12+0)</f>
        <v>8815.5759999999991</v>
      </c>
      <c r="C59" s="461" t="s">
        <v>924</v>
      </c>
      <c r="D59" s="320"/>
    </row>
    <row r="60" spans="1:4">
      <c r="A60" s="264" t="s">
        <v>63</v>
      </c>
      <c r="B60" s="262">
        <f>(B43+B50)*0.348</f>
        <v>318098.0369590373</v>
      </c>
      <c r="C60" s="301" t="s">
        <v>514</v>
      </c>
      <c r="D60" s="320"/>
    </row>
    <row r="61" spans="1:4" ht="45">
      <c r="A61" s="264" t="s">
        <v>121</v>
      </c>
      <c r="B61" s="304">
        <f>(B43+B50+B60)*0.132</f>
        <v>162646.81696650365</v>
      </c>
      <c r="C61" s="338" t="s">
        <v>225</v>
      </c>
      <c r="D61" s="320" t="s">
        <v>85</v>
      </c>
    </row>
    <row r="62" spans="1:4">
      <c r="A62" s="127" t="s">
        <v>122</v>
      </c>
      <c r="B62" s="307">
        <f>B58+B59+B60+B61</f>
        <v>507025.57432554092</v>
      </c>
      <c r="C62" s="301"/>
      <c r="D62" s="320"/>
    </row>
    <row r="63" spans="1:4">
      <c r="A63" s="264" t="s">
        <v>64</v>
      </c>
      <c r="B63" s="262">
        <f>(B43+B50+B57+B62)*3%</f>
        <v>42633.01179520048</v>
      </c>
      <c r="C63" s="301"/>
      <c r="D63" s="320"/>
    </row>
    <row r="64" spans="1:4">
      <c r="A64" s="127" t="s">
        <v>26</v>
      </c>
      <c r="B64" s="590">
        <f>B43+B50+B57+B62+B63</f>
        <v>1463733.4049685497</v>
      </c>
      <c r="C64" s="306"/>
      <c r="D64" s="320"/>
    </row>
    <row r="65" spans="1:4">
      <c r="A65" s="127" t="s">
        <v>65</v>
      </c>
      <c r="B65" s="357">
        <f>B64*1.18</f>
        <v>1727205.4178628887</v>
      </c>
      <c r="C65" s="306"/>
      <c r="D65" s="320"/>
    </row>
    <row r="66" spans="1:4">
      <c r="A66" s="303"/>
      <c r="B66" s="307">
        <f>B28-B65</f>
        <v>-206652.48986288882</v>
      </c>
      <c r="C66" s="308"/>
      <c r="D66" s="320"/>
    </row>
    <row r="67" spans="1:4" ht="30">
      <c r="A67" s="134" t="s">
        <v>123</v>
      </c>
      <c r="B67" s="135">
        <f>B65/(B12+B13)/12</f>
        <v>25.143907627333416</v>
      </c>
      <c r="C67" s="136" t="s">
        <v>375</v>
      </c>
      <c r="D67" s="339"/>
    </row>
    <row r="68" spans="1:4">
      <c r="A68" s="591"/>
      <c r="D68" s="591"/>
    </row>
    <row r="69" spans="1:4">
      <c r="A69" s="799" t="s">
        <v>124</v>
      </c>
      <c r="B69" s="799"/>
      <c r="C69" s="799"/>
      <c r="D69" s="591"/>
    </row>
    <row r="70" spans="1:4" ht="30.75" customHeight="1">
      <c r="A70" s="800" t="s">
        <v>518</v>
      </c>
      <c r="B70" s="800"/>
      <c r="C70" s="800"/>
      <c r="D70" s="591"/>
    </row>
    <row r="71" spans="1:4" ht="30.75" customHeight="1">
      <c r="A71" s="800" t="s">
        <v>519</v>
      </c>
      <c r="B71" s="800"/>
      <c r="C71" s="800"/>
      <c r="D71" s="591"/>
    </row>
    <row r="72" spans="1:4">
      <c r="A72" s="160"/>
      <c r="B72" s="453"/>
      <c r="C72" s="193"/>
    </row>
    <row r="73" spans="1:4">
      <c r="A73" s="797" t="s">
        <v>505</v>
      </c>
      <c r="B73" s="797"/>
      <c r="C73" s="797"/>
    </row>
    <row r="81" spans="1:4" s="65" customFormat="1">
      <c r="A81" s="66"/>
      <c r="B81" s="66"/>
      <c r="C81" s="66"/>
      <c r="D81" s="66"/>
    </row>
    <row r="82" spans="1:4" s="65" customFormat="1">
      <c r="A82" s="66"/>
      <c r="B82" s="66"/>
      <c r="C82" s="66"/>
      <c r="D82" s="66"/>
    </row>
    <row r="83" spans="1:4" s="65" customFormat="1">
      <c r="A83" s="66"/>
      <c r="B83" s="66"/>
      <c r="C83" s="66"/>
      <c r="D83" s="66"/>
    </row>
    <row r="84" spans="1:4" s="65" customFormat="1">
      <c r="A84" s="66"/>
      <c r="B84" s="66"/>
      <c r="C84" s="66"/>
      <c r="D84" s="66"/>
    </row>
    <row r="85" spans="1:4" s="65" customFormat="1">
      <c r="A85" s="66"/>
      <c r="B85" s="66"/>
      <c r="C85" s="66"/>
      <c r="D85" s="66"/>
    </row>
    <row r="86" spans="1:4" s="65" customFormat="1">
      <c r="A86" s="66"/>
      <c r="B86" s="66"/>
      <c r="C86" s="66"/>
      <c r="D86" s="66"/>
    </row>
    <row r="87" spans="1:4" s="65" customFormat="1">
      <c r="A87" s="66"/>
      <c r="B87" s="66"/>
      <c r="C87" s="66"/>
      <c r="D87" s="66"/>
    </row>
    <row r="88" spans="1:4" s="65" customFormat="1">
      <c r="A88" s="66"/>
      <c r="B88" s="66"/>
      <c r="C88" s="66"/>
      <c r="D88" s="66"/>
    </row>
  </sheetData>
  <mergeCells count="6">
    <mergeCell ref="A73:C73"/>
    <mergeCell ref="A71:C71"/>
    <mergeCell ref="A8:D8"/>
    <mergeCell ref="A9:D10"/>
    <mergeCell ref="A69:C69"/>
    <mergeCell ref="A70:C70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91"/>
  <sheetViews>
    <sheetView topLeftCell="A8" workbookViewId="0">
      <selection activeCell="E8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5703125" style="67" customWidth="1"/>
    <col min="5" max="5" width="3.57031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28.5" customHeight="1">
      <c r="A8" s="798" t="s">
        <v>478</v>
      </c>
      <c r="B8" s="798"/>
      <c r="C8" s="798"/>
      <c r="D8" s="798"/>
    </row>
    <row r="9" spans="1:7" ht="15" customHeight="1">
      <c r="A9" s="798" t="s">
        <v>106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" customHeight="1">
      <c r="A11" s="73"/>
      <c r="B11" s="73"/>
      <c r="C11" s="73"/>
    </row>
    <row r="12" spans="1:7" ht="15.75">
      <c r="A12" s="74" t="s">
        <v>2</v>
      </c>
      <c r="B12" s="75">
        <v>4357.8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" customHeight="1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22.08</v>
      </c>
    </row>
    <row r="16" spans="1:7">
      <c r="A16" s="85" t="s">
        <v>7</v>
      </c>
      <c r="B16" s="149">
        <f>B12*G15*12</f>
        <v>1154642.6880000001</v>
      </c>
      <c r="C16" s="150" t="s">
        <v>926</v>
      </c>
      <c r="D16" s="86" t="s">
        <v>85</v>
      </c>
      <c r="F16" s="259" t="s">
        <v>134</v>
      </c>
      <c r="G16" s="260">
        <v>4357.8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171</v>
      </c>
    </row>
    <row r="18" spans="1:7" ht="15.75">
      <c r="A18" s="95" t="s">
        <v>12</v>
      </c>
      <c r="B18" s="586">
        <f>B16+B17</f>
        <v>1154642.6880000001</v>
      </c>
      <c r="C18" s="96"/>
      <c r="D18" s="90"/>
      <c r="F18" s="259" t="s">
        <v>136</v>
      </c>
      <c r="G18" s="260">
        <v>292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713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1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1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1461.5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2920.3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810.42</v>
      </c>
    </row>
    <row r="27" spans="1:7">
      <c r="A27" s="97" t="s">
        <v>24</v>
      </c>
      <c r="B27" s="1">
        <v>0</v>
      </c>
      <c r="C27" s="96"/>
      <c r="D27" s="90"/>
      <c r="F27" s="259" t="s">
        <v>460</v>
      </c>
      <c r="G27" s="278">
        <v>9</v>
      </c>
    </row>
    <row r="28" spans="1:7" ht="18.75">
      <c r="A28" s="98" t="s">
        <v>26</v>
      </c>
      <c r="B28" s="99">
        <f>B18+B19+B27</f>
        <v>1159832.4480000001</v>
      </c>
      <c r="C28" s="96"/>
      <c r="D28" s="90"/>
      <c r="F28" s="259" t="s">
        <v>461</v>
      </c>
      <c r="G28" s="278">
        <f>(G23/3+G24)/2920</f>
        <v>1.1669406392694064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148</v>
      </c>
      <c r="G29" s="278">
        <f>G17/144</f>
        <v>1.1875</v>
      </c>
    </row>
    <row r="30" spans="1:7">
      <c r="A30" s="102" t="s">
        <v>29</v>
      </c>
      <c r="B30" s="88"/>
      <c r="C30" s="103"/>
      <c r="D30" s="90"/>
      <c r="F30" s="259" t="s">
        <v>149</v>
      </c>
      <c r="G30" s="279">
        <f>(396.8+110.9)/820</f>
        <v>0.61914634146341474</v>
      </c>
    </row>
    <row r="31" spans="1:7" ht="63.75">
      <c r="A31" s="104" t="s">
        <v>30</v>
      </c>
      <c r="B31" s="750">
        <f>(G28*(3708+200)*1.5*1.15*1.083*1.302*6)+(G28*(3856+200)*1.5*1.15*1.083*1.302*6)+(0.104*G23*12)</f>
        <v>137455.2152178023</v>
      </c>
      <c r="C31" s="497" t="s">
        <v>927</v>
      </c>
      <c r="D31" s="579" t="s">
        <v>86</v>
      </c>
      <c r="F31" s="247" t="s">
        <v>151</v>
      </c>
      <c r="G31" s="279">
        <v>9</v>
      </c>
    </row>
    <row r="32" spans="1:7" ht="25.5">
      <c r="A32" s="104" t="s">
        <v>31</v>
      </c>
      <c r="B32" s="601">
        <f>(G30*9921.13*6)+(G30*10317.11*6)</f>
        <v>75182.593521951232</v>
      </c>
      <c r="C32" s="198" t="s">
        <v>860</v>
      </c>
      <c r="D32" s="579"/>
      <c r="F32" s="247" t="s">
        <v>462</v>
      </c>
      <c r="G32" s="279">
        <v>684</v>
      </c>
    </row>
    <row r="33" spans="1:7" ht="38.25">
      <c r="A33" s="104" t="s">
        <v>32</v>
      </c>
      <c r="B33" s="175">
        <f>(G29*9921.13*6)+(G29*10317.11*6)+(G17*10.95538*12)*G22</f>
        <v>166677.89976</v>
      </c>
      <c r="C33" s="198" t="s">
        <v>861</v>
      </c>
      <c r="D33" s="579"/>
      <c r="F33" s="285" t="s">
        <v>463</v>
      </c>
      <c r="G33" s="286">
        <v>684</v>
      </c>
    </row>
    <row r="34" spans="1:7">
      <c r="A34" s="104" t="s">
        <v>34</v>
      </c>
      <c r="B34" s="580">
        <f>(16.06+16.7)*G17</f>
        <v>5601.96</v>
      </c>
      <c r="C34" s="476" t="s">
        <v>862</v>
      </c>
      <c r="D34" s="579" t="s">
        <v>88</v>
      </c>
      <c r="F34" s="289" t="s">
        <v>464</v>
      </c>
      <c r="G34" s="290">
        <v>17978</v>
      </c>
    </row>
    <row r="35" spans="1:7" ht="36.75" customHeight="1">
      <c r="A35" s="104" t="s">
        <v>35</v>
      </c>
      <c r="B35" s="580">
        <f>(49.72+51.71)*2*G25*0</f>
        <v>0</v>
      </c>
      <c r="C35" s="476" t="s">
        <v>469</v>
      </c>
      <c r="D35" s="579"/>
      <c r="F35" s="247" t="s">
        <v>465</v>
      </c>
      <c r="G35" s="279">
        <v>1</v>
      </c>
    </row>
    <row r="36" spans="1:7">
      <c r="A36" s="104" t="s">
        <v>36</v>
      </c>
      <c r="B36" s="580">
        <f>0.25*G33*12</f>
        <v>2052</v>
      </c>
      <c r="C36" s="476" t="s">
        <v>928</v>
      </c>
      <c r="D36" s="579" t="s">
        <v>85</v>
      </c>
      <c r="F36" s="247" t="s">
        <v>467</v>
      </c>
      <c r="G36" s="279">
        <v>2</v>
      </c>
    </row>
    <row r="37" spans="1:7" ht="16.5" customHeight="1">
      <c r="A37" s="106" t="s">
        <v>37</v>
      </c>
      <c r="B37" s="580">
        <f>2.34*G33*4</f>
        <v>6402.24</v>
      </c>
      <c r="C37" s="476" t="s">
        <v>929</v>
      </c>
      <c r="D37" s="579" t="s">
        <v>89</v>
      </c>
    </row>
    <row r="38" spans="1:7" ht="25.5">
      <c r="A38" s="501" t="s">
        <v>67</v>
      </c>
      <c r="B38" s="482">
        <f>(635.59*6+661.01*6)*G36</f>
        <v>15559.2</v>
      </c>
      <c r="C38" s="476" t="s">
        <v>844</v>
      </c>
      <c r="D38" s="579" t="s">
        <v>85</v>
      </c>
    </row>
    <row r="39" spans="1:7" ht="25.5">
      <c r="A39" s="501" t="s">
        <v>190</v>
      </c>
      <c r="B39" s="4">
        <f>(466.1*6+484.74*6)*G35</f>
        <v>5705.0400000000009</v>
      </c>
      <c r="C39" s="476" t="s">
        <v>845</v>
      </c>
      <c r="D39" s="579" t="s">
        <v>85</v>
      </c>
    </row>
    <row r="40" spans="1:7">
      <c r="A40" s="476" t="s">
        <v>529</v>
      </c>
      <c r="B40" s="483">
        <f>3750*12*G21</f>
        <v>45000</v>
      </c>
      <c r="C40" s="501" t="s">
        <v>930</v>
      </c>
      <c r="D40" s="504" t="s">
        <v>85</v>
      </c>
    </row>
    <row r="41" spans="1:7">
      <c r="A41" s="476" t="s">
        <v>530</v>
      </c>
      <c r="B41" s="581">
        <f>4190*G21</f>
        <v>4190</v>
      </c>
      <c r="C41" s="501" t="s">
        <v>931</v>
      </c>
      <c r="D41" s="751" t="s">
        <v>532</v>
      </c>
    </row>
    <row r="42" spans="1:7">
      <c r="A42" s="506" t="s">
        <v>533</v>
      </c>
      <c r="B42" s="483">
        <v>0</v>
      </c>
      <c r="C42" s="752" t="s">
        <v>847</v>
      </c>
      <c r="D42" s="505" t="s">
        <v>159</v>
      </c>
    </row>
    <row r="43" spans="1:7" s="63" customFormat="1" ht="12.75">
      <c r="A43" s="611" t="s">
        <v>47</v>
      </c>
      <c r="B43" s="586">
        <f>SUM(B31:B42)</f>
        <v>463826.1484997535</v>
      </c>
      <c r="C43" s="753"/>
      <c r="D43" s="579"/>
    </row>
    <row r="44" spans="1:7">
      <c r="A44" s="104" t="s">
        <v>48</v>
      </c>
      <c r="B44" s="1"/>
      <c r="C44" s="753"/>
      <c r="D44" s="579"/>
    </row>
    <row r="45" spans="1:7" ht="38.25">
      <c r="A45" s="112" t="s">
        <v>49</v>
      </c>
      <c r="B45" s="580">
        <f>(G27*100.2134*6)+(G27*104.2268*6)+(1.71*(B12+B13)*12)</f>
        <v>100461.8268</v>
      </c>
      <c r="C45" s="511" t="s">
        <v>932</v>
      </c>
      <c r="D45" s="512"/>
    </row>
    <row r="46" spans="1:7">
      <c r="A46" s="106" t="s">
        <v>50</v>
      </c>
      <c r="B46" s="1">
        <f>15.92*G14*0</f>
        <v>0</v>
      </c>
      <c r="C46" s="511" t="s">
        <v>933</v>
      </c>
      <c r="D46" s="579" t="s">
        <v>90</v>
      </c>
    </row>
    <row r="47" spans="1:7" ht="89.25">
      <c r="A47" s="583" t="s">
        <v>120</v>
      </c>
      <c r="B47" s="199">
        <f>17.51*(B13+B12)</f>
        <v>76305.078000000009</v>
      </c>
      <c r="C47" s="754" t="s">
        <v>934</v>
      </c>
      <c r="D47" s="579"/>
    </row>
    <row r="48" spans="1:7" ht="51">
      <c r="A48" s="104" t="s">
        <v>51</v>
      </c>
      <c r="B48" s="478">
        <f>(654.11+263.56/3)*G34/1000</f>
        <v>13339.016806666667</v>
      </c>
      <c r="C48" s="511" t="s">
        <v>935</v>
      </c>
      <c r="D48" s="501" t="s">
        <v>91</v>
      </c>
    </row>
    <row r="49" spans="1:4" ht="51">
      <c r="A49" s="116" t="s">
        <v>52</v>
      </c>
      <c r="B49" s="584">
        <f>((G26/12*6*100.2134)+(G26/12*6*104.2268))+((G26/12*6*100.2134)+(G26/12*6*104.2268))/1.302*25%</f>
        <v>98747.74444084792</v>
      </c>
      <c r="C49" s="511" t="s">
        <v>936</v>
      </c>
      <c r="D49" s="579"/>
    </row>
    <row r="50" spans="1:4" ht="15.75">
      <c r="A50" s="117" t="s">
        <v>53</v>
      </c>
      <c r="B50" s="99">
        <f>SUM(B45:B49)</f>
        <v>288853.66604751465</v>
      </c>
      <c r="C50" s="110"/>
      <c r="D50" s="90"/>
    </row>
    <row r="51" spans="1:4">
      <c r="A51" s="116" t="s">
        <v>54</v>
      </c>
      <c r="B51" s="1"/>
      <c r="C51" s="96"/>
      <c r="D51" s="90"/>
    </row>
    <row r="52" spans="1:4" s="62" customFormat="1" ht="12.75">
      <c r="A52" s="118" t="s">
        <v>55</v>
      </c>
      <c r="B52" s="2">
        <v>0</v>
      </c>
      <c r="C52" s="119"/>
      <c r="D52" s="86"/>
    </row>
    <row r="53" spans="1:4">
      <c r="A53" s="116" t="s">
        <v>56</v>
      </c>
      <c r="B53" s="88">
        <v>0</v>
      </c>
      <c r="C53" s="120"/>
      <c r="D53" s="90"/>
    </row>
    <row r="54" spans="1:4">
      <c r="A54" s="116" t="s">
        <v>57</v>
      </c>
      <c r="B54" s="88"/>
      <c r="C54" s="120"/>
      <c r="D54" s="90"/>
    </row>
    <row r="55" spans="1:4">
      <c r="A55" s="116" t="s">
        <v>58</v>
      </c>
      <c r="B55" s="88"/>
      <c r="C55" s="120"/>
      <c r="D55" s="90"/>
    </row>
    <row r="56" spans="1:4">
      <c r="A56" s="116" t="s">
        <v>59</v>
      </c>
      <c r="B56" s="88"/>
      <c r="C56" s="120"/>
      <c r="D56" s="90"/>
    </row>
    <row r="57" spans="1:4" ht="15.75">
      <c r="A57" s="117" t="s">
        <v>60</v>
      </c>
      <c r="B57" s="132">
        <f>B52+B53</f>
        <v>0</v>
      </c>
      <c r="C57" s="122"/>
      <c r="D57" s="90"/>
    </row>
    <row r="58" spans="1:4">
      <c r="A58" s="123" t="s">
        <v>61</v>
      </c>
      <c r="B58" s="262">
        <f>3.051*(B12+0)</f>
        <v>13295.647800000001</v>
      </c>
      <c r="C58" s="301" t="s">
        <v>937</v>
      </c>
      <c r="D58" s="90"/>
    </row>
    <row r="59" spans="1:4">
      <c r="A59" s="124" t="s">
        <v>62</v>
      </c>
      <c r="B59" s="304">
        <f>1.54*(B12+0)</f>
        <v>6711.0120000000006</v>
      </c>
      <c r="C59" s="461" t="s">
        <v>938</v>
      </c>
      <c r="D59" s="90"/>
    </row>
    <row r="60" spans="1:4">
      <c r="A60" s="68" t="s">
        <v>63</v>
      </c>
      <c r="B60" s="262">
        <f>(B43+B50)*0.348</f>
        <v>261932.57546244931</v>
      </c>
      <c r="C60" s="301" t="s">
        <v>514</v>
      </c>
      <c r="D60" s="90"/>
    </row>
    <row r="61" spans="1:4" ht="38.25">
      <c r="A61" s="68" t="s">
        <v>121</v>
      </c>
      <c r="B61" s="125">
        <f>(B43+B50+B60)*0.132</f>
        <v>133928.83548128273</v>
      </c>
      <c r="C61" s="69" t="s">
        <v>225</v>
      </c>
      <c r="D61" s="90" t="s">
        <v>85</v>
      </c>
    </row>
    <row r="62" spans="1:4" ht="15.75">
      <c r="A62" s="127" t="s">
        <v>122</v>
      </c>
      <c r="B62" s="132">
        <f>B58+B59+B60+B61</f>
        <v>415868.07074373204</v>
      </c>
      <c r="C62" s="122"/>
      <c r="D62" s="90"/>
    </row>
    <row r="63" spans="1:4">
      <c r="A63" s="68" t="s">
        <v>64</v>
      </c>
      <c r="B63" s="88">
        <f>(B43+B50+B57+B62)*3%</f>
        <v>35056.436558730013</v>
      </c>
      <c r="C63" s="120"/>
      <c r="D63" s="90"/>
    </row>
    <row r="64" spans="1:4" ht="15.75">
      <c r="A64" s="128" t="s">
        <v>26</v>
      </c>
      <c r="B64" s="595">
        <f>B43+B50+B57+B62+B63</f>
        <v>1203604.3218497303</v>
      </c>
      <c r="C64" s="130"/>
      <c r="D64" s="90"/>
    </row>
    <row r="65" spans="1:4" ht="15.75">
      <c r="A65" s="128" t="s">
        <v>65</v>
      </c>
      <c r="B65" s="595">
        <f>B64*1.2</f>
        <v>1444325.1862196764</v>
      </c>
      <c r="C65" s="130"/>
      <c r="D65" s="90"/>
    </row>
    <row r="66" spans="1:4" ht="15.75">
      <c r="A66" s="131"/>
      <c r="B66" s="132">
        <f>B28-B65</f>
        <v>-284492.73821967631</v>
      </c>
      <c r="C66" s="133"/>
      <c r="D66" s="90"/>
    </row>
    <row r="67" spans="1:4" ht="30">
      <c r="A67" s="134" t="s">
        <v>123</v>
      </c>
      <c r="B67" s="135">
        <f>B65/(B12+B13)/12</f>
        <v>27.619540177376894</v>
      </c>
      <c r="C67" s="136" t="s">
        <v>376</v>
      </c>
      <c r="D67" s="137"/>
    </row>
    <row r="68" spans="1:4">
      <c r="A68" s="138"/>
      <c r="D68" s="138"/>
    </row>
    <row r="69" spans="1:4" ht="15" customHeight="1">
      <c r="A69" s="799" t="s">
        <v>124</v>
      </c>
      <c r="B69" s="799"/>
      <c r="C69" s="799"/>
      <c r="D69" s="138"/>
    </row>
    <row r="70" spans="1:4" ht="36" customHeight="1">
      <c r="A70" s="800" t="s">
        <v>518</v>
      </c>
      <c r="B70" s="800"/>
      <c r="C70" s="800"/>
      <c r="D70" s="196"/>
    </row>
    <row r="71" spans="1:4" ht="32.25" customHeight="1">
      <c r="A71" s="800" t="s">
        <v>519</v>
      </c>
      <c r="B71" s="800"/>
      <c r="C71" s="800"/>
      <c r="D71" s="196"/>
    </row>
    <row r="72" spans="1:4" ht="27" customHeight="1">
      <c r="A72" s="160"/>
      <c r="B72" s="453"/>
      <c r="C72" s="193"/>
      <c r="D72" s="138"/>
    </row>
    <row r="73" spans="1:4">
      <c r="A73" s="797" t="s">
        <v>505</v>
      </c>
      <c r="B73" s="797"/>
      <c r="C73" s="797"/>
      <c r="D73" s="138"/>
    </row>
    <row r="74" spans="1:4">
      <c r="D74" s="138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</sheetData>
  <mergeCells count="6">
    <mergeCell ref="A73:C73"/>
    <mergeCell ref="A69:C69"/>
    <mergeCell ref="A8:D8"/>
    <mergeCell ref="A9:D10"/>
    <mergeCell ref="A70:C70"/>
    <mergeCell ref="A71:C71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F0"/>
  </sheetPr>
  <dimension ref="A1:G91"/>
  <sheetViews>
    <sheetView topLeftCell="A6" workbookViewId="0">
      <selection activeCell="E18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7.85546875" style="67" customWidth="1"/>
    <col min="5" max="5" width="2.57031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  <c r="D1" s="65"/>
    </row>
    <row r="2" spans="1:7" ht="15.75">
      <c r="C2" s="163" t="s">
        <v>216</v>
      </c>
      <c r="D2" s="65"/>
    </row>
    <row r="3" spans="1:7" ht="15.75">
      <c r="C3" s="163" t="s">
        <v>189</v>
      </c>
      <c r="D3" s="65"/>
    </row>
    <row r="4" spans="1:7" ht="15.75">
      <c r="C4" s="163"/>
      <c r="D4" s="65"/>
    </row>
    <row r="5" spans="1:7" ht="15.75">
      <c r="C5" s="163" t="s">
        <v>217</v>
      </c>
      <c r="D5" s="65"/>
    </row>
    <row r="6" spans="1:7" ht="15.75">
      <c r="C6" s="70"/>
    </row>
    <row r="7" spans="1:7" ht="15.75">
      <c r="C7" s="70"/>
    </row>
    <row r="8" spans="1:7" ht="31.5" customHeight="1">
      <c r="A8" s="798" t="s">
        <v>478</v>
      </c>
      <c r="B8" s="798"/>
      <c r="C8" s="798"/>
      <c r="D8" s="798"/>
    </row>
    <row r="9" spans="1:7" ht="15" customHeight="1">
      <c r="A9" s="798" t="s">
        <v>107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3823.2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22.69</v>
      </c>
    </row>
    <row r="16" spans="1:7">
      <c r="A16" s="85" t="s">
        <v>7</v>
      </c>
      <c r="B16" s="149">
        <f>B12*G15*12</f>
        <v>1040980.8959999999</v>
      </c>
      <c r="C16" s="150" t="s">
        <v>950</v>
      </c>
      <c r="D16" s="86" t="s">
        <v>85</v>
      </c>
      <c r="F16" s="259" t="s">
        <v>134</v>
      </c>
      <c r="G16" s="260">
        <v>3823.2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72</v>
      </c>
    </row>
    <row r="18" spans="1:7" ht="15.75">
      <c r="A18" s="95" t="s">
        <v>12</v>
      </c>
      <c r="B18" s="586">
        <f>B16+B17</f>
        <v>1040980.8959999999</v>
      </c>
      <c r="C18" s="96"/>
      <c r="D18" s="90"/>
      <c r="F18" s="259" t="s">
        <v>136</v>
      </c>
      <c r="G18" s="260">
        <v>213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662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2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2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1374.3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1625.5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878.61</v>
      </c>
    </row>
    <row r="27" spans="1:7">
      <c r="A27" s="97" t="s">
        <v>24</v>
      </c>
      <c r="B27" s="1">
        <f>B28</f>
        <v>0</v>
      </c>
      <c r="C27" s="96"/>
      <c r="D27" s="90"/>
      <c r="F27" s="259" t="s">
        <v>460</v>
      </c>
      <c r="G27" s="278">
        <v>8.74</v>
      </c>
    </row>
    <row r="28" spans="1:7">
      <c r="A28" s="68"/>
      <c r="B28" s="1"/>
      <c r="C28" s="96"/>
      <c r="D28" s="90"/>
      <c r="F28" s="259" t="s">
        <v>461</v>
      </c>
      <c r="G28" s="278">
        <f>(G23/3+G24)/2920</f>
        <v>0.71356164383561638</v>
      </c>
    </row>
    <row r="29" spans="1:7" ht="18.75">
      <c r="A29" s="98" t="s">
        <v>26</v>
      </c>
      <c r="B29" s="99">
        <f>B18+B19+B27</f>
        <v>1046170.656</v>
      </c>
      <c r="C29" s="96"/>
      <c r="D29" s="90"/>
      <c r="F29" s="259" t="s">
        <v>148</v>
      </c>
      <c r="G29" s="278">
        <f>G17/114</f>
        <v>0.63157894736842102</v>
      </c>
    </row>
    <row r="30" spans="1:7" ht="15.75">
      <c r="A30" s="82" t="s">
        <v>27</v>
      </c>
      <c r="B30" s="100" t="s">
        <v>5</v>
      </c>
      <c r="C30" s="101" t="s">
        <v>28</v>
      </c>
      <c r="D30" s="90"/>
      <c r="F30" s="259" t="s">
        <v>149</v>
      </c>
      <c r="G30" s="279">
        <f>(270.5+163.8)/820</f>
        <v>0.52963414634146344</v>
      </c>
    </row>
    <row r="31" spans="1:7">
      <c r="A31" s="102" t="s">
        <v>29</v>
      </c>
      <c r="B31" s="88"/>
      <c r="C31" s="103"/>
      <c r="D31" s="90"/>
      <c r="F31" s="247" t="s">
        <v>151</v>
      </c>
      <c r="G31" s="279">
        <v>9</v>
      </c>
    </row>
    <row r="32" spans="1:7" ht="63.75">
      <c r="A32" s="104" t="s">
        <v>30</v>
      </c>
      <c r="B32" s="750">
        <f>(G28*(3708+200)*1.5*1.15*1.083*1.302*6)+(G28*(3856+200)*1.5*1.15*1.083*1.302*6)+(0.104*G23*12)</f>
        <v>84651.022091993902</v>
      </c>
      <c r="C32" s="497" t="s">
        <v>939</v>
      </c>
      <c r="D32" s="579" t="s">
        <v>86</v>
      </c>
      <c r="F32" s="247" t="s">
        <v>462</v>
      </c>
      <c r="G32" s="279">
        <v>452.2</v>
      </c>
    </row>
    <row r="33" spans="1:7" ht="25.5">
      <c r="A33" s="104" t="s">
        <v>31</v>
      </c>
      <c r="B33" s="601">
        <f>(G30*9921.13*6)+(G30*10317.11*6)</f>
        <v>64313.177795121956</v>
      </c>
      <c r="C33" s="198" t="s">
        <v>880</v>
      </c>
      <c r="D33" s="579"/>
      <c r="F33" s="285" t="s">
        <v>463</v>
      </c>
      <c r="G33" s="286">
        <v>452.2</v>
      </c>
    </row>
    <row r="34" spans="1:7" ht="38.25">
      <c r="A34" s="104" t="s">
        <v>32</v>
      </c>
      <c r="B34" s="175">
        <f>(G29*9921.13*6)+(G29*10317.11*6)+(G17*10.95538*12)*G22</f>
        <v>95623.174534736841</v>
      </c>
      <c r="C34" s="198" t="s">
        <v>940</v>
      </c>
      <c r="D34" s="579"/>
      <c r="F34" s="289" t="s">
        <v>464</v>
      </c>
      <c r="G34" s="290">
        <v>18884</v>
      </c>
    </row>
    <row r="35" spans="1:7">
      <c r="A35" s="104" t="s">
        <v>34</v>
      </c>
      <c r="B35" s="580">
        <f>(16.06+16.7)*G17</f>
        <v>2358.7199999999998</v>
      </c>
      <c r="C35" s="476" t="s">
        <v>841</v>
      </c>
      <c r="D35" s="579" t="s">
        <v>88</v>
      </c>
      <c r="F35" s="247" t="s">
        <v>465</v>
      </c>
      <c r="G35" s="279">
        <v>0</v>
      </c>
    </row>
    <row r="36" spans="1:7" ht="36.75" customHeight="1">
      <c r="A36" s="104" t="s">
        <v>35</v>
      </c>
      <c r="B36" s="580">
        <f>(49.72+51.71)*2*G25*0</f>
        <v>0</v>
      </c>
      <c r="C36" s="476" t="s">
        <v>469</v>
      </c>
      <c r="D36" s="579"/>
      <c r="F36" s="247" t="s">
        <v>467</v>
      </c>
      <c r="G36" s="279">
        <v>2</v>
      </c>
    </row>
    <row r="37" spans="1:7">
      <c r="A37" s="104" t="s">
        <v>36</v>
      </c>
      <c r="B37" s="580">
        <f>0.25*G33*12</f>
        <v>1356.6</v>
      </c>
      <c r="C37" s="476" t="s">
        <v>941</v>
      </c>
      <c r="D37" s="579" t="s">
        <v>85</v>
      </c>
    </row>
    <row r="38" spans="1:7" ht="18" customHeight="1">
      <c r="A38" s="106" t="s">
        <v>37</v>
      </c>
      <c r="B38" s="580">
        <f>2.34*G33*4</f>
        <v>4232.5919999999996</v>
      </c>
      <c r="C38" s="476" t="s">
        <v>942</v>
      </c>
      <c r="D38" s="579" t="s">
        <v>89</v>
      </c>
    </row>
    <row r="39" spans="1:7" ht="25.5">
      <c r="A39" s="501" t="s">
        <v>67</v>
      </c>
      <c r="B39" s="482">
        <f>(635.59*6+661.01*6)*G35</f>
        <v>0</v>
      </c>
      <c r="C39" s="476" t="s">
        <v>844</v>
      </c>
      <c r="D39" s="579" t="s">
        <v>85</v>
      </c>
    </row>
    <row r="40" spans="1:7" ht="25.5">
      <c r="A40" s="501" t="s">
        <v>190</v>
      </c>
      <c r="B40" s="4">
        <f>(466.1*6+484.74*6)*G19</f>
        <v>0</v>
      </c>
      <c r="C40" s="476" t="s">
        <v>845</v>
      </c>
      <c r="D40" s="579" t="s">
        <v>85</v>
      </c>
    </row>
    <row r="41" spans="1:7">
      <c r="A41" s="476" t="s">
        <v>529</v>
      </c>
      <c r="B41" s="483">
        <f>3750*12*G21</f>
        <v>90000</v>
      </c>
      <c r="C41" s="501" t="s">
        <v>846</v>
      </c>
      <c r="D41" s="504" t="s">
        <v>85</v>
      </c>
    </row>
    <row r="42" spans="1:7">
      <c r="A42" s="476" t="s">
        <v>530</v>
      </c>
      <c r="B42" s="581">
        <f>4190*G21</f>
        <v>8380</v>
      </c>
      <c r="C42" s="501" t="s">
        <v>127</v>
      </c>
      <c r="D42" s="751" t="s">
        <v>532</v>
      </c>
    </row>
    <row r="43" spans="1:7">
      <c r="A43" s="506" t="s">
        <v>533</v>
      </c>
      <c r="B43" s="483">
        <v>0</v>
      </c>
      <c r="C43" s="752" t="s">
        <v>847</v>
      </c>
      <c r="D43" s="505" t="s">
        <v>159</v>
      </c>
    </row>
    <row r="44" spans="1:7" s="63" customFormat="1" ht="12.75">
      <c r="A44" s="611" t="s">
        <v>47</v>
      </c>
      <c r="B44" s="586">
        <f>SUM(B32:B43)</f>
        <v>350915.28642185271</v>
      </c>
      <c r="C44" s="753"/>
      <c r="D44" s="579"/>
    </row>
    <row r="45" spans="1:7">
      <c r="A45" s="104" t="s">
        <v>48</v>
      </c>
      <c r="B45" s="1"/>
      <c r="C45" s="753"/>
      <c r="D45" s="579"/>
    </row>
    <row r="46" spans="1:7" ht="38.25">
      <c r="A46" s="112" t="s">
        <v>49</v>
      </c>
      <c r="B46" s="580">
        <f>(G27*100.2134*6)+(G27*104.2268*6)+(1.71*(B13+B12)*12)</f>
        <v>89172.908087999996</v>
      </c>
      <c r="C46" s="511" t="s">
        <v>943</v>
      </c>
      <c r="D46" s="512"/>
    </row>
    <row r="47" spans="1:7">
      <c r="A47" s="106" t="s">
        <v>50</v>
      </c>
      <c r="B47" s="1">
        <f>15.92*G20*0</f>
        <v>0</v>
      </c>
      <c r="C47" s="511" t="s">
        <v>944</v>
      </c>
      <c r="D47" s="579" t="s">
        <v>90</v>
      </c>
    </row>
    <row r="48" spans="1:7" ht="89.25">
      <c r="A48" s="583" t="s">
        <v>120</v>
      </c>
      <c r="B48" s="199">
        <f>17.51*(B12+B13)</f>
        <v>66944.232000000004</v>
      </c>
      <c r="C48" s="754" t="s">
        <v>945</v>
      </c>
      <c r="D48" s="579"/>
    </row>
    <row r="49" spans="1:4" ht="51">
      <c r="A49" s="104" t="s">
        <v>51</v>
      </c>
      <c r="B49" s="478">
        <f>(654.11+263.56/3)*G34/1000</f>
        <v>14011.235586666668</v>
      </c>
      <c r="C49" s="511" t="s">
        <v>946</v>
      </c>
      <c r="D49" s="501" t="s">
        <v>91</v>
      </c>
    </row>
    <row r="50" spans="1:4" ht="51">
      <c r="A50" s="116" t="s">
        <v>52</v>
      </c>
      <c r="B50" s="584">
        <f>((G26/12*6*100.2134)+(G26/12*6*104.2268))+((G26/12*6*100.2134)+(G26/12*6*104.2268))/1.302*25%</f>
        <v>107056.53333231335</v>
      </c>
      <c r="C50" s="511" t="s">
        <v>947</v>
      </c>
      <c r="D50" s="579"/>
    </row>
    <row r="51" spans="1:4" ht="15.75">
      <c r="A51" s="117" t="s">
        <v>53</v>
      </c>
      <c r="B51" s="99">
        <f>SUM(B46:B50)</f>
        <v>277184.90900698001</v>
      </c>
      <c r="C51" s="110"/>
      <c r="D51" s="90"/>
    </row>
    <row r="52" spans="1:4">
      <c r="A52" s="116" t="s">
        <v>54</v>
      </c>
      <c r="B52" s="1"/>
      <c r="C52" s="96"/>
      <c r="D52" s="90"/>
    </row>
    <row r="53" spans="1:4" s="62" customFormat="1" ht="12.75">
      <c r="A53" s="118" t="s">
        <v>55</v>
      </c>
      <c r="B53" s="2">
        <v>0</v>
      </c>
      <c r="C53" s="119"/>
      <c r="D53" s="86"/>
    </row>
    <row r="54" spans="1:4">
      <c r="A54" s="116" t="s">
        <v>56</v>
      </c>
      <c r="B54" s="88">
        <v>0</v>
      </c>
      <c r="C54" s="120"/>
      <c r="D54" s="90"/>
    </row>
    <row r="55" spans="1:4">
      <c r="A55" s="116" t="s">
        <v>57</v>
      </c>
      <c r="B55" s="88"/>
      <c r="C55" s="120"/>
      <c r="D55" s="90"/>
    </row>
    <row r="56" spans="1:4">
      <c r="A56" s="116" t="s">
        <v>58</v>
      </c>
      <c r="B56" s="88"/>
      <c r="C56" s="120"/>
      <c r="D56" s="90"/>
    </row>
    <row r="57" spans="1:4">
      <c r="A57" s="116" t="s">
        <v>59</v>
      </c>
      <c r="B57" s="88"/>
      <c r="C57" s="120"/>
      <c r="D57" s="90"/>
    </row>
    <row r="58" spans="1:4" ht="15.75">
      <c r="A58" s="117" t="s">
        <v>60</v>
      </c>
      <c r="B58" s="132">
        <f>B53+B54</f>
        <v>0</v>
      </c>
      <c r="C58" s="122"/>
      <c r="D58" s="90"/>
    </row>
    <row r="59" spans="1:4">
      <c r="A59" s="123" t="s">
        <v>61</v>
      </c>
      <c r="B59" s="262">
        <f>3.051*(B12+0)</f>
        <v>11664.583200000001</v>
      </c>
      <c r="C59" s="301" t="s">
        <v>948</v>
      </c>
      <c r="D59" s="90"/>
    </row>
    <row r="60" spans="1:4">
      <c r="A60" s="124" t="s">
        <v>62</v>
      </c>
      <c r="B60" s="304">
        <f>1.54*(B12+0)</f>
        <v>5887.7280000000001</v>
      </c>
      <c r="C60" s="461" t="s">
        <v>949</v>
      </c>
      <c r="D60" s="90"/>
    </row>
    <row r="61" spans="1:4">
      <c r="A61" s="68" t="s">
        <v>63</v>
      </c>
      <c r="B61" s="262">
        <f>(B44+B51)*0.348</f>
        <v>218578.86800923376</v>
      </c>
      <c r="C61" s="301" t="s">
        <v>514</v>
      </c>
      <c r="D61" s="90"/>
    </row>
    <row r="62" spans="1:4" ht="38.25">
      <c r="A62" s="68" t="s">
        <v>121</v>
      </c>
      <c r="B62" s="125">
        <f>(B44+B51+B61)*0.132</f>
        <v>111761.63637382477</v>
      </c>
      <c r="C62" s="69" t="s">
        <v>225</v>
      </c>
      <c r="D62" s="90" t="s">
        <v>85</v>
      </c>
    </row>
    <row r="63" spans="1:4" ht="15.75">
      <c r="A63" s="127" t="s">
        <v>122</v>
      </c>
      <c r="B63" s="132">
        <f>B59+B60+B61+B62</f>
        <v>347892.81558305852</v>
      </c>
      <c r="C63" s="122"/>
      <c r="D63" s="90"/>
    </row>
    <row r="64" spans="1:4">
      <c r="A64" s="68" t="s">
        <v>64</v>
      </c>
      <c r="B64" s="88">
        <f>(B44+B51+B58+B63)*3%</f>
        <v>29279.790330356733</v>
      </c>
      <c r="C64" s="120"/>
      <c r="D64" s="90"/>
    </row>
    <row r="65" spans="1:4" ht="15.75">
      <c r="A65" s="128" t="s">
        <v>26</v>
      </c>
      <c r="B65" s="595">
        <f>B44+B51+B58+B63+B64</f>
        <v>1005272.8013422479</v>
      </c>
      <c r="C65" s="130"/>
      <c r="D65" s="90"/>
    </row>
    <row r="66" spans="1:4" ht="15.75">
      <c r="A66" s="128" t="s">
        <v>65</v>
      </c>
      <c r="B66" s="595">
        <f>B65*1.2</f>
        <v>1206327.3616106973</v>
      </c>
      <c r="C66" s="130"/>
      <c r="D66" s="90"/>
    </row>
    <row r="67" spans="1:4" ht="15.75">
      <c r="A67" s="131"/>
      <c r="B67" s="132">
        <f>B29-B66</f>
        <v>-160156.70561069739</v>
      </c>
      <c r="C67" s="133"/>
      <c r="D67" s="90"/>
    </row>
    <row r="68" spans="1:4" ht="30">
      <c r="A68" s="134" t="s">
        <v>123</v>
      </c>
      <c r="B68" s="135">
        <f>B66/(B12+B13)/12</f>
        <v>26.294015519518933</v>
      </c>
      <c r="C68" s="136" t="s">
        <v>128</v>
      </c>
      <c r="D68" s="137"/>
    </row>
    <row r="69" spans="1:4">
      <c r="A69" s="138"/>
      <c r="D69" s="138"/>
    </row>
    <row r="70" spans="1:4" ht="15" customHeight="1">
      <c r="A70" s="799" t="s">
        <v>124</v>
      </c>
      <c r="B70" s="799"/>
      <c r="C70" s="799"/>
      <c r="D70" s="138"/>
    </row>
    <row r="71" spans="1:4" ht="33.75" customHeight="1">
      <c r="A71" s="800" t="s">
        <v>518</v>
      </c>
      <c r="B71" s="800"/>
      <c r="C71" s="800"/>
      <c r="D71" s="196"/>
    </row>
    <row r="72" spans="1:4" ht="38.25" customHeight="1">
      <c r="A72" s="800" t="s">
        <v>519</v>
      </c>
      <c r="B72" s="800"/>
      <c r="C72" s="800"/>
      <c r="D72" s="196"/>
    </row>
    <row r="73" spans="1:4" ht="27.75" customHeight="1">
      <c r="A73" s="160"/>
      <c r="B73" s="453"/>
      <c r="C73" s="193"/>
      <c r="D73" s="138"/>
    </row>
    <row r="74" spans="1:4">
      <c r="A74" s="797" t="s">
        <v>505</v>
      </c>
      <c r="B74" s="797"/>
      <c r="C74" s="797"/>
      <c r="D74" s="138"/>
    </row>
    <row r="75" spans="1:4">
      <c r="D75" s="138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</sheetData>
  <mergeCells count="6">
    <mergeCell ref="A74:C74"/>
    <mergeCell ref="A70:C70"/>
    <mergeCell ref="A8:D8"/>
    <mergeCell ref="A9:D10"/>
    <mergeCell ref="A71:C71"/>
    <mergeCell ref="A72:C72"/>
  </mergeCells>
  <pageMargins left="0.51181102362204722" right="0.11811023622047244" top="0.15748031496062992" bottom="0.15748031496062992" header="0.31496062992125984" footer="0.31496062992125984"/>
  <pageSetup scale="90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G71"/>
  <sheetViews>
    <sheetView workbookViewId="0">
      <selection activeCell="E1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541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3839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20.76</v>
      </c>
    </row>
    <row r="15" spans="1:7">
      <c r="A15" s="474" t="s">
        <v>7</v>
      </c>
      <c r="B15" s="475">
        <f>B11*G14*12</f>
        <v>956371.67999999993</v>
      </c>
      <c r="C15" s="481" t="s">
        <v>633</v>
      </c>
      <c r="D15" s="477" t="s">
        <v>85</v>
      </c>
      <c r="F15" s="259" t="s">
        <v>134</v>
      </c>
      <c r="G15" s="260">
        <v>3839</v>
      </c>
    </row>
    <row r="16" spans="1:7">
      <c r="A16" s="85" t="s">
        <v>9</v>
      </c>
      <c r="B16" s="201">
        <f>B12</f>
        <v>0</v>
      </c>
      <c r="C16" s="503"/>
      <c r="D16" s="477"/>
      <c r="F16" s="259" t="s">
        <v>135</v>
      </c>
      <c r="G16" s="260">
        <v>72</v>
      </c>
    </row>
    <row r="17" spans="1:7" ht="15.75">
      <c r="A17" s="95" t="s">
        <v>12</v>
      </c>
      <c r="B17" s="538">
        <f>B15+B16</f>
        <v>956371.67999999993</v>
      </c>
      <c r="C17" s="485"/>
      <c r="D17" s="477"/>
      <c r="E17" s="162"/>
      <c r="F17" s="259" t="s">
        <v>136</v>
      </c>
      <c r="G17" s="260">
        <v>235</v>
      </c>
    </row>
    <row r="18" spans="1:7">
      <c r="A18" s="486" t="s">
        <v>13</v>
      </c>
      <c r="B18" s="487">
        <f>B19+B20+B21+B22+B23+B24</f>
        <v>5039.76</v>
      </c>
      <c r="C18" s="485"/>
      <c r="D18" s="477"/>
      <c r="F18" s="247" t="s">
        <v>459</v>
      </c>
      <c r="G18" s="248">
        <v>0</v>
      </c>
    </row>
    <row r="19" spans="1:7">
      <c r="A19" s="488" t="s">
        <v>14</v>
      </c>
      <c r="B19" s="487">
        <f>34.98*12</f>
        <v>419.76</v>
      </c>
      <c r="C19" s="485" t="s">
        <v>15</v>
      </c>
      <c r="D19" s="477" t="s">
        <v>85</v>
      </c>
      <c r="F19" s="259" t="s">
        <v>139</v>
      </c>
      <c r="G19" s="260">
        <v>645</v>
      </c>
    </row>
    <row r="20" spans="1:7">
      <c r="A20" s="488" t="s">
        <v>16</v>
      </c>
      <c r="B20" s="487">
        <f>137.5*12</f>
        <v>1650</v>
      </c>
      <c r="C20" s="485" t="s">
        <v>17</v>
      </c>
      <c r="D20" s="477" t="s">
        <v>85</v>
      </c>
      <c r="F20" s="259" t="s">
        <v>140</v>
      </c>
      <c r="G20" s="260">
        <v>2</v>
      </c>
    </row>
    <row r="21" spans="1:7">
      <c r="A21" s="488" t="s">
        <v>18</v>
      </c>
      <c r="B21" s="487">
        <f>123.75*12</f>
        <v>1485</v>
      </c>
      <c r="C21" s="485" t="s">
        <v>19</v>
      </c>
      <c r="D21" s="477" t="s">
        <v>85</v>
      </c>
      <c r="F21" s="259" t="s">
        <v>141</v>
      </c>
      <c r="G21" s="260">
        <v>2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818.7</v>
      </c>
    </row>
    <row r="23" spans="1:7">
      <c r="A23" s="488" t="s">
        <v>66</v>
      </c>
      <c r="B23" s="487">
        <f>150*12*0</f>
        <v>0</v>
      </c>
      <c r="C23" s="485" t="s">
        <v>21</v>
      </c>
      <c r="D23" s="477" t="s">
        <v>85</v>
      </c>
      <c r="F23" s="259" t="s">
        <v>143</v>
      </c>
      <c r="G23" s="277">
        <v>2416.3000000000002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479.71</v>
      </c>
    </row>
    <row r="26" spans="1:7" ht="18.75">
      <c r="A26" s="491" t="s">
        <v>26</v>
      </c>
      <c r="B26" s="492">
        <f>B17+B18+B25</f>
        <v>961411.44</v>
      </c>
      <c r="C26" s="489"/>
      <c r="D26" s="490"/>
      <c r="F26" s="259" t="s">
        <v>460</v>
      </c>
      <c r="G26" s="278">
        <v>9.36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0.92095890410958914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G16/144</f>
        <v>0.5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106073.80230436174</v>
      </c>
      <c r="C29" s="341" t="s">
        <v>624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9</v>
      </c>
    </row>
    <row r="31" spans="1:7" ht="45">
      <c r="A31" s="287" t="s">
        <v>32</v>
      </c>
      <c r="B31" s="342">
        <f>(0.5*9921.13*6)+(0.5*10317.11*6)+(72*10.41812*12)</f>
        <v>69715.975680000003</v>
      </c>
      <c r="C31" s="344" t="s">
        <v>625</v>
      </c>
      <c r="D31" s="258"/>
      <c r="F31" s="247" t="s">
        <v>462</v>
      </c>
      <c r="G31" s="279">
        <v>606</v>
      </c>
    </row>
    <row r="32" spans="1:7">
      <c r="A32" s="287" t="s">
        <v>34</v>
      </c>
      <c r="B32" s="345">
        <f>(16.06+16.7)*G16</f>
        <v>2358.7199999999998</v>
      </c>
      <c r="C32" s="346" t="s">
        <v>626</v>
      </c>
      <c r="D32" s="258" t="s">
        <v>88</v>
      </c>
      <c r="F32" s="285" t="s">
        <v>463</v>
      </c>
      <c r="G32" s="286">
        <v>606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17039</v>
      </c>
    </row>
    <row r="34" spans="1:7">
      <c r="A34" s="287" t="s">
        <v>36</v>
      </c>
      <c r="B34" s="347">
        <f>0.25*G31*12</f>
        <v>1818</v>
      </c>
      <c r="C34" s="348" t="s">
        <v>627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345">
        <f>2.34*G31*4</f>
        <v>5672.16</v>
      </c>
      <c r="C35" s="251" t="s">
        <v>628</v>
      </c>
      <c r="D35" s="258" t="s">
        <v>89</v>
      </c>
      <c r="F35" s="247" t="s">
        <v>467</v>
      </c>
      <c r="G35" s="279">
        <v>2</v>
      </c>
    </row>
    <row r="36" spans="1:7" ht="30">
      <c r="A36" s="417" t="s">
        <v>67</v>
      </c>
      <c r="B36" s="381">
        <f>(635.59*6+661.01*6)*G34</f>
        <v>7779.6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>
      <c r="A38" s="385" t="s">
        <v>529</v>
      </c>
      <c r="B38" s="383">
        <f>3750*12*2</f>
        <v>90000</v>
      </c>
      <c r="C38" s="417" t="s">
        <v>607</v>
      </c>
      <c r="D38" s="504" t="s">
        <v>85</v>
      </c>
    </row>
    <row r="39" spans="1:7">
      <c r="A39" s="385" t="s">
        <v>530</v>
      </c>
      <c r="B39" s="383">
        <f>4190*2</f>
        <v>8380</v>
      </c>
      <c r="C39" s="417" t="s">
        <v>605</v>
      </c>
      <c r="D39" s="505" t="s">
        <v>532</v>
      </c>
    </row>
    <row r="40" spans="1:7" ht="15.75">
      <c r="A40" s="507" t="s">
        <v>47</v>
      </c>
      <c r="B40" s="492">
        <f>SUM(B29:B39)</f>
        <v>291798.25798436173</v>
      </c>
      <c r="C40" s="509"/>
      <c r="D40" s="477"/>
    </row>
    <row r="41" spans="1:7">
      <c r="A41" s="496" t="s">
        <v>48</v>
      </c>
      <c r="B41" s="487"/>
      <c r="C41" s="485"/>
      <c r="D41" s="477"/>
    </row>
    <row r="42" spans="1:7" ht="45">
      <c r="A42" s="421" t="s">
        <v>49</v>
      </c>
      <c r="B42" s="413">
        <f>(G26*100.2134*6)+(G26*104.2268)+(1.71*(B12+B11)*12)</f>
        <v>85379.827391999992</v>
      </c>
      <c r="C42" s="422" t="s">
        <v>629</v>
      </c>
      <c r="D42" s="423"/>
    </row>
    <row r="43" spans="1:7" ht="120">
      <c r="A43" s="426" t="s">
        <v>120</v>
      </c>
      <c r="B43" s="427">
        <f>17.51*(B12+B11)</f>
        <v>67220.89</v>
      </c>
      <c r="C43" s="428" t="s">
        <v>630</v>
      </c>
      <c r="D43" s="377"/>
    </row>
    <row r="44" spans="1:7" ht="63">
      <c r="A44" s="456" t="s">
        <v>51</v>
      </c>
      <c r="B44" s="457">
        <f>(654.11+263.56/3)*G33/1000</f>
        <v>12642.313236666667</v>
      </c>
      <c r="C44" s="458" t="s">
        <v>631</v>
      </c>
      <c r="D44" s="459" t="s">
        <v>91</v>
      </c>
    </row>
    <row r="45" spans="1:7" ht="60">
      <c r="A45" s="430" t="s">
        <v>52</v>
      </c>
      <c r="B45" s="431">
        <f>((G25/12*6*100.2134)+(G25/12*6*104.2268))+((G25/12*6*100.2134)+(G25/12*6*104.2268))/1.302*25%</f>
        <v>58451.519564817208</v>
      </c>
      <c r="C45" s="422" t="s">
        <v>632</v>
      </c>
      <c r="D45" s="377"/>
    </row>
    <row r="46" spans="1:7" ht="15.75">
      <c r="A46" s="515" t="s">
        <v>53</v>
      </c>
      <c r="B46" s="492">
        <f>SUM(B43:B45)</f>
        <v>138314.72280148388</v>
      </c>
      <c r="C46" s="509"/>
      <c r="D46" s="477"/>
    </row>
    <row r="47" spans="1:7">
      <c r="A47" s="514" t="s">
        <v>54</v>
      </c>
      <c r="B47" s="487"/>
      <c r="C47" s="485"/>
      <c r="D47" s="477"/>
    </row>
    <row r="48" spans="1:7" s="105" customFormat="1" ht="12.75">
      <c r="A48" s="118" t="s">
        <v>501</v>
      </c>
      <c r="B48" s="201"/>
      <c r="C48" s="516"/>
      <c r="D48" s="477"/>
      <c r="E48" s="499"/>
    </row>
    <row r="49" spans="1:4">
      <c r="A49" s="514" t="s">
        <v>502</v>
      </c>
      <c r="B49" s="487"/>
      <c r="C49" s="517"/>
      <c r="D49" s="477"/>
    </row>
    <row r="50" spans="1:4">
      <c r="A50" s="514" t="s">
        <v>57</v>
      </c>
      <c r="B50" s="487"/>
      <c r="C50" s="517"/>
      <c r="D50" s="477"/>
    </row>
    <row r="51" spans="1:4">
      <c r="A51" s="514" t="s">
        <v>58</v>
      </c>
      <c r="B51" s="487"/>
      <c r="C51" s="517"/>
      <c r="D51" s="477"/>
    </row>
    <row r="52" spans="1:4">
      <c r="A52" s="514" t="s">
        <v>59</v>
      </c>
      <c r="B52" s="487"/>
      <c r="C52" s="517"/>
      <c r="D52" s="477"/>
    </row>
    <row r="53" spans="1:4" ht="15.75">
      <c r="A53" s="515" t="s">
        <v>60</v>
      </c>
      <c r="B53" s="508">
        <f>B48+B49</f>
        <v>0</v>
      </c>
      <c r="C53" s="518"/>
      <c r="D53" s="477"/>
    </row>
    <row r="54" spans="1:4">
      <c r="A54" s="519" t="s">
        <v>61</v>
      </c>
      <c r="B54" s="407">
        <f>3.051*(B11+B12)</f>
        <v>11712.789000000001</v>
      </c>
      <c r="C54" s="539" t="s">
        <v>634</v>
      </c>
      <c r="D54" s="477"/>
    </row>
    <row r="55" spans="1:4">
      <c r="A55" s="520" t="s">
        <v>62</v>
      </c>
      <c r="B55" s="407">
        <f>1.54*(B12+B11)</f>
        <v>5912.06</v>
      </c>
      <c r="C55" s="540" t="s">
        <v>635</v>
      </c>
      <c r="D55" s="477"/>
    </row>
    <row r="56" spans="1:4">
      <c r="A56" s="488" t="s">
        <v>63</v>
      </c>
      <c r="B56" s="440">
        <f>(B40+B46)*0.348</f>
        <v>149679.31731347425</v>
      </c>
      <c r="C56" s="381" t="s">
        <v>514</v>
      </c>
      <c r="D56" s="477"/>
    </row>
    <row r="57" spans="1:4" ht="25.5">
      <c r="A57" s="488" t="s">
        <v>121</v>
      </c>
      <c r="B57" s="487">
        <f>(B41+B46+B53+B56)*0.132</f>
        <v>38015.213295174472</v>
      </c>
      <c r="C57" s="517" t="s">
        <v>503</v>
      </c>
      <c r="D57" s="477" t="s">
        <v>85</v>
      </c>
    </row>
    <row r="58" spans="1:4" ht="15.75">
      <c r="A58" s="441" t="s">
        <v>122</v>
      </c>
      <c r="B58" s="492">
        <f>B54+B55+B56+B57</f>
        <v>205319.37960864871</v>
      </c>
      <c r="C58" s="518"/>
      <c r="D58" s="477"/>
    </row>
    <row r="59" spans="1:4">
      <c r="A59" s="488" t="s">
        <v>64</v>
      </c>
      <c r="B59" s="487">
        <f>(B40+B46+B53+B58)*3%</f>
        <v>19062.970811834832</v>
      </c>
      <c r="C59" s="517"/>
      <c r="D59" s="477"/>
    </row>
    <row r="60" spans="1:4" ht="15.75">
      <c r="A60" s="522" t="s">
        <v>26</v>
      </c>
      <c r="B60" s="537">
        <f>B40+B46+B53+B58+B59</f>
        <v>654495.33120632917</v>
      </c>
      <c r="C60" s="524"/>
      <c r="D60" s="477"/>
    </row>
    <row r="61" spans="1:4" ht="15.75">
      <c r="A61" s="522" t="s">
        <v>65</v>
      </c>
      <c r="B61" s="537">
        <f>B60*1.2</f>
        <v>785394.39744759502</v>
      </c>
      <c r="C61" s="524"/>
      <c r="D61" s="477"/>
    </row>
    <row r="62" spans="1:4" ht="15.75">
      <c r="A62" s="525"/>
      <c r="B62" s="492">
        <f>B26-B61</f>
        <v>176017.04255240492</v>
      </c>
      <c r="C62" s="526"/>
      <c r="D62" s="477"/>
    </row>
    <row r="63" spans="1:4" ht="30">
      <c r="A63" s="527" t="s">
        <v>123</v>
      </c>
      <c r="B63" s="528">
        <f>B61/(B11+B12)/12</f>
        <v>17.048588986880155</v>
      </c>
      <c r="C63" s="529" t="s">
        <v>542</v>
      </c>
      <c r="D63" s="530"/>
    </row>
    <row r="64" spans="1:4">
      <c r="A64" s="531"/>
      <c r="B64" s="532"/>
      <c r="C64" s="533"/>
      <c r="D64" s="534"/>
    </row>
    <row r="65" spans="1:4" ht="15" customHeight="1">
      <c r="A65" s="799" t="s">
        <v>124</v>
      </c>
      <c r="B65" s="799"/>
      <c r="C65" s="799"/>
      <c r="D65" s="205"/>
    </row>
    <row r="66" spans="1:4" ht="30" customHeight="1">
      <c r="A66" s="800" t="s">
        <v>518</v>
      </c>
      <c r="B66" s="800"/>
      <c r="C66" s="800"/>
      <c r="D66" s="205"/>
    </row>
    <row r="67" spans="1:4" ht="27.75" customHeight="1">
      <c r="A67" s="800" t="s">
        <v>519</v>
      </c>
      <c r="B67" s="800"/>
      <c r="C67" s="800"/>
      <c r="D67" s="205"/>
    </row>
    <row r="68" spans="1:4" ht="25.5" customHeight="1">
      <c r="A68" s="160"/>
      <c r="B68" s="453"/>
      <c r="D68" s="205"/>
    </row>
    <row r="69" spans="1:4">
      <c r="A69" s="797" t="s">
        <v>505</v>
      </c>
      <c r="B69" s="797"/>
      <c r="C69" s="797"/>
      <c r="D69" s="205"/>
    </row>
    <row r="70" spans="1:4">
      <c r="A70" s="160"/>
      <c r="B70" s="161"/>
      <c r="C70" s="162"/>
      <c r="D70" s="205"/>
    </row>
    <row r="71" spans="1:4" ht="18.75">
      <c r="A71" s="170"/>
      <c r="B71" s="170"/>
      <c r="C71" s="170"/>
    </row>
  </sheetData>
  <mergeCells count="6">
    <mergeCell ref="A69:C69"/>
    <mergeCell ref="A7:D7"/>
    <mergeCell ref="A8:D9"/>
    <mergeCell ref="A65:C65"/>
    <mergeCell ref="A66:C66"/>
    <mergeCell ref="A67:C67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0"/>
  <sheetViews>
    <sheetView topLeftCell="A40" workbookViewId="0">
      <selection activeCell="E57" sqref="E57"/>
    </sheetView>
  </sheetViews>
  <sheetFormatPr defaultColWidth="9.140625" defaultRowHeight="15"/>
  <cols>
    <col min="1" max="1" width="3" style="58" customWidth="1"/>
    <col min="2" max="2" width="44.7109375" style="66" customWidth="1"/>
    <col min="3" max="3" width="14.5703125" style="66" customWidth="1"/>
    <col min="4" max="4" width="33.42578125" style="66" customWidth="1"/>
    <col min="5" max="5" width="18" style="67" customWidth="1"/>
    <col min="6" max="6" width="4.42578125" style="58" customWidth="1"/>
    <col min="7" max="8" width="9.140625" style="58"/>
    <col min="9" max="9" width="16.140625" style="58" customWidth="1"/>
    <col min="10" max="16384" width="9.140625" style="58"/>
  </cols>
  <sheetData>
    <row r="3" spans="2:11" ht="15.75">
      <c r="D3" s="163" t="s">
        <v>0</v>
      </c>
    </row>
    <row r="4" spans="2:11" ht="15.75">
      <c r="D4" s="163" t="s">
        <v>185</v>
      </c>
    </row>
    <row r="5" spans="2:11" ht="15.75">
      <c r="D5" s="163" t="s">
        <v>1</v>
      </c>
      <c r="I5" s="139" t="s">
        <v>132</v>
      </c>
      <c r="J5" s="212">
        <v>23.28</v>
      </c>
      <c r="K5" s="141" t="s">
        <v>167</v>
      </c>
    </row>
    <row r="6" spans="2:11" ht="15.75">
      <c r="D6" s="163"/>
      <c r="I6" s="140" t="s">
        <v>134</v>
      </c>
      <c r="J6" s="140"/>
      <c r="K6" s="141"/>
    </row>
    <row r="7" spans="2:11" ht="15.75">
      <c r="D7" s="163" t="s">
        <v>217</v>
      </c>
      <c r="I7" s="140" t="s">
        <v>135</v>
      </c>
      <c r="J7" s="140">
        <v>217</v>
      </c>
      <c r="K7" s="141"/>
    </row>
    <row r="8" spans="2:11" ht="15.75">
      <c r="D8" s="70"/>
      <c r="I8" s="140" t="s">
        <v>136</v>
      </c>
      <c r="J8" s="212">
        <v>638</v>
      </c>
      <c r="K8" s="141"/>
    </row>
    <row r="9" spans="2:11" ht="15.75">
      <c r="D9" s="70"/>
      <c r="I9" s="142" t="s">
        <v>137</v>
      </c>
      <c r="J9" s="140">
        <v>43216</v>
      </c>
      <c r="K9" s="141"/>
    </row>
    <row r="10" spans="2:11" ht="29.2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108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4</v>
      </c>
      <c r="K12" s="141"/>
    </row>
    <row r="13" spans="2:11" ht="15.75">
      <c r="B13" s="73"/>
      <c r="C13" s="73"/>
      <c r="D13" s="73"/>
      <c r="I13" s="140" t="s">
        <v>141</v>
      </c>
      <c r="J13" s="140">
        <v>4</v>
      </c>
      <c r="K13" s="141"/>
    </row>
    <row r="14" spans="2:11" ht="15.75">
      <c r="B14" s="74" t="s">
        <v>2</v>
      </c>
      <c r="C14" s="75">
        <v>10983.3</v>
      </c>
      <c r="D14" s="76" t="s">
        <v>72</v>
      </c>
      <c r="I14" s="140" t="s">
        <v>142</v>
      </c>
      <c r="J14" s="140">
        <v>1410.7</v>
      </c>
      <c r="K14" s="141"/>
    </row>
    <row r="15" spans="2:11" s="59" customFormat="1" ht="15.75">
      <c r="B15" s="77" t="s">
        <v>3</v>
      </c>
      <c r="C15" s="78">
        <v>0</v>
      </c>
      <c r="D15" s="79"/>
      <c r="E15" s="80"/>
      <c r="I15" s="140" t="s">
        <v>143</v>
      </c>
      <c r="J15" s="59">
        <v>7941.1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1320.88366438863</v>
      </c>
      <c r="K17" s="141"/>
    </row>
    <row r="18" spans="2:11">
      <c r="B18" s="85" t="s">
        <v>7</v>
      </c>
      <c r="C18" s="149">
        <f>C14*23.28*12</f>
        <v>3068294.6880000001</v>
      </c>
      <c r="D18" s="150" t="s">
        <v>377</v>
      </c>
      <c r="E18" s="86" t="s">
        <v>85</v>
      </c>
      <c r="I18" s="140" t="s">
        <v>146</v>
      </c>
      <c r="J18" s="140">
        <v>18.43</v>
      </c>
      <c r="K18" s="141"/>
    </row>
    <row r="19" spans="2:11" ht="38.25">
      <c r="B19" s="87" t="s">
        <v>8</v>
      </c>
      <c r="C19" s="214">
        <f>638*(211.42*6*1.45/12+226.93*6*1.45/12)*1.18</f>
        <v>239255.37514999998</v>
      </c>
      <c r="D19" s="215" t="s">
        <v>378</v>
      </c>
      <c r="E19" s="90"/>
      <c r="I19" s="140" t="s">
        <v>147</v>
      </c>
      <c r="J19" s="143">
        <v>1.21</v>
      </c>
      <c r="K19" s="144">
        <f>(J15/3+J14)/3358</f>
        <v>1.2083780027794322</v>
      </c>
    </row>
    <row r="20" spans="2:11">
      <c r="B20" s="91" t="s">
        <v>9</v>
      </c>
      <c r="C20" s="88">
        <f>C21</f>
        <v>0</v>
      </c>
      <c r="D20" s="89"/>
      <c r="E20" s="90"/>
      <c r="I20" s="145" t="s">
        <v>148</v>
      </c>
      <c r="J20" s="145">
        <v>1.5</v>
      </c>
      <c r="K20" s="144">
        <f>J7/144</f>
        <v>1.5069444444444444</v>
      </c>
    </row>
    <row r="21" spans="2:11">
      <c r="B21" s="68"/>
      <c r="C21" s="92"/>
      <c r="D21" s="93"/>
      <c r="E21" s="90"/>
      <c r="I21" s="146" t="s">
        <v>149</v>
      </c>
      <c r="J21" s="147">
        <v>1.3</v>
      </c>
      <c r="K21" s="144">
        <f>J32/1180</f>
        <v>0</v>
      </c>
    </row>
    <row r="22" spans="2:11">
      <c r="B22" s="94"/>
      <c r="C22" s="151"/>
      <c r="D22" s="152"/>
      <c r="E22" s="90"/>
      <c r="I22" s="58" t="s">
        <v>150</v>
      </c>
      <c r="J22" s="58">
        <v>1.45</v>
      </c>
      <c r="K22" s="141"/>
    </row>
    <row r="23" spans="2:11">
      <c r="B23" s="94"/>
      <c r="C23" s="153"/>
      <c r="D23" s="154"/>
      <c r="E23" s="90"/>
      <c r="I23" s="58" t="s">
        <v>151</v>
      </c>
      <c r="K23" s="141"/>
    </row>
    <row r="24" spans="2:11" ht="15.75">
      <c r="B24" s="95" t="s">
        <v>12</v>
      </c>
      <c r="C24" s="1">
        <f>C18+C20</f>
        <v>3068294.6880000001</v>
      </c>
      <c r="D24" s="96"/>
      <c r="E24" s="90"/>
      <c r="I24" s="141" t="s">
        <v>152</v>
      </c>
      <c r="J24" s="141">
        <f>789.9+279.7</f>
        <v>1069.5999999999999</v>
      </c>
      <c r="K24" s="144">
        <f>J24/820</f>
        <v>1.3043902439024389</v>
      </c>
    </row>
    <row r="25" spans="2:11">
      <c r="B25" s="97" t="s">
        <v>13</v>
      </c>
      <c r="C25" s="1">
        <f>C26+C27+C28+C29+C30+C31+C32</f>
        <v>5189.76</v>
      </c>
      <c r="D25" s="96"/>
      <c r="E25" s="90"/>
      <c r="I25" s="58" t="s">
        <v>153</v>
      </c>
      <c r="J25" s="58" t="s">
        <v>179</v>
      </c>
      <c r="K25" s="141"/>
    </row>
    <row r="26" spans="2:11">
      <c r="B26" s="68" t="s">
        <v>14</v>
      </c>
      <c r="C26" s="1">
        <f>34.98*12</f>
        <v>419.76</v>
      </c>
      <c r="D26" s="96" t="s">
        <v>15</v>
      </c>
      <c r="E26" s="90" t="s">
        <v>85</v>
      </c>
    </row>
    <row r="27" spans="2:11">
      <c r="B27" s="68" t="s">
        <v>16</v>
      </c>
      <c r="C27" s="1">
        <f>137.5*12*0</f>
        <v>0</v>
      </c>
      <c r="D27" s="96" t="s">
        <v>17</v>
      </c>
      <c r="E27" s="90"/>
    </row>
    <row r="28" spans="2:11">
      <c r="B28" s="68" t="s">
        <v>18</v>
      </c>
      <c r="C28" s="1">
        <f>123.75*12</f>
        <v>1485</v>
      </c>
      <c r="D28" s="96" t="s">
        <v>19</v>
      </c>
      <c r="E28" s="90" t="s">
        <v>85</v>
      </c>
    </row>
    <row r="29" spans="2:11">
      <c r="B29" s="68" t="s">
        <v>20</v>
      </c>
      <c r="C29" s="1">
        <f>123.75*12</f>
        <v>1485</v>
      </c>
      <c r="D29" s="96" t="s">
        <v>19</v>
      </c>
      <c r="E29" s="90" t="s">
        <v>85</v>
      </c>
    </row>
    <row r="30" spans="2:11">
      <c r="B30" s="68" t="s">
        <v>66</v>
      </c>
      <c r="C30" s="1">
        <f>150*12</f>
        <v>1800</v>
      </c>
      <c r="D30" s="96" t="s">
        <v>21</v>
      </c>
      <c r="E30" s="90" t="s">
        <v>85</v>
      </c>
    </row>
    <row r="31" spans="2:11">
      <c r="B31" s="68" t="s">
        <v>22</v>
      </c>
      <c r="C31" s="1">
        <f>137.5*12*0</f>
        <v>0</v>
      </c>
      <c r="D31" s="96" t="s">
        <v>17</v>
      </c>
      <c r="E31" s="90"/>
    </row>
    <row r="32" spans="2:11">
      <c r="B32" s="68" t="s">
        <v>23</v>
      </c>
      <c r="C32" s="1">
        <f>150*12*0</f>
        <v>0</v>
      </c>
      <c r="D32" s="96" t="s">
        <v>21</v>
      </c>
      <c r="E32" s="90"/>
    </row>
    <row r="33" spans="2:8">
      <c r="B33" s="97" t="s">
        <v>24</v>
      </c>
      <c r="C33" s="1">
        <f>C34</f>
        <v>0</v>
      </c>
      <c r="D33" s="96"/>
      <c r="E33" s="90"/>
    </row>
    <row r="34" spans="2:8">
      <c r="B34" s="68"/>
      <c r="C34" s="1"/>
      <c r="D34" s="96"/>
      <c r="E34" s="90"/>
    </row>
    <row r="35" spans="2:8" ht="18.75">
      <c r="B35" s="98" t="s">
        <v>26</v>
      </c>
      <c r="C35" s="99">
        <f>C24+C25+C33</f>
        <v>3073484.4479999999</v>
      </c>
      <c r="D35" s="96"/>
      <c r="E35" s="90"/>
    </row>
    <row r="36" spans="2:8" ht="15.75">
      <c r="B36" s="82" t="s">
        <v>27</v>
      </c>
      <c r="C36" s="100" t="s">
        <v>5</v>
      </c>
      <c r="D36" s="101" t="s">
        <v>28</v>
      </c>
      <c r="E36" s="90"/>
    </row>
    <row r="37" spans="2:8" ht="15.75">
      <c r="B37" s="102" t="s">
        <v>29</v>
      </c>
      <c r="C37" s="88"/>
      <c r="D37" s="103"/>
      <c r="E37" s="90"/>
      <c r="H37" s="60"/>
    </row>
    <row r="38" spans="2:8" ht="51">
      <c r="B38" s="104" t="s">
        <v>30</v>
      </c>
      <c r="C38" s="218">
        <f>(1.21*(3565+200)*1.5*1.15*1.083*1.302*3)+(1.21*(3708+200)*1.5*1.15*1.083*1.302*9)+(0.1*1410.7*12)</f>
        <v>138452.66773171947</v>
      </c>
      <c r="D38" s="219" t="s">
        <v>379</v>
      </c>
      <c r="E38" s="90" t="s">
        <v>86</v>
      </c>
      <c r="H38" s="61"/>
    </row>
    <row r="39" spans="2:8" ht="25.5">
      <c r="B39" s="104" t="s">
        <v>31</v>
      </c>
      <c r="C39" s="228">
        <f>(1.3*9538.51*3)+(1.3*9921.13*9)</f>
        <v>153277.40999999997</v>
      </c>
      <c r="D39" s="231" t="s">
        <v>380</v>
      </c>
      <c r="E39" s="90" t="s">
        <v>87</v>
      </c>
      <c r="H39" s="61"/>
    </row>
    <row r="40" spans="2:8" ht="38.25">
      <c r="B40" s="104" t="s">
        <v>32</v>
      </c>
      <c r="C40" s="228">
        <f>(1.51*9538.51*3)+(1.51*9921.13*9)+(217*11.48767*12)</f>
        <v>207951.49967999998</v>
      </c>
      <c r="D40" s="231" t="s">
        <v>381</v>
      </c>
      <c r="E40" s="90" t="s">
        <v>86</v>
      </c>
      <c r="H40" s="61"/>
    </row>
    <row r="41" spans="2:8" s="62" customFormat="1" ht="51">
      <c r="B41" s="104" t="s">
        <v>33</v>
      </c>
      <c r="C41" s="220">
        <f>638*(360.84*0.025*3+362.52*0.025*3+382.25*0.025*6)</f>
        <v>71194.100999999995</v>
      </c>
      <c r="D41" s="221" t="s">
        <v>382</v>
      </c>
      <c r="E41" s="86" t="s">
        <v>87</v>
      </c>
      <c r="H41" s="61"/>
    </row>
    <row r="42" spans="2:8" ht="15.75">
      <c r="B42" s="104" t="s">
        <v>34</v>
      </c>
      <c r="C42" s="222">
        <f>(16.86+17.53)*217</f>
        <v>7462.63</v>
      </c>
      <c r="D42" s="223" t="s">
        <v>383</v>
      </c>
      <c r="E42" s="90" t="s">
        <v>88</v>
      </c>
      <c r="H42" s="61"/>
    </row>
    <row r="43" spans="2:8" ht="36.75" customHeight="1">
      <c r="B43" s="104" t="s">
        <v>35</v>
      </c>
      <c r="C43" s="222">
        <f>(49.72+51.71)*2*0</f>
        <v>0</v>
      </c>
      <c r="D43" s="223" t="s">
        <v>220</v>
      </c>
      <c r="E43" s="90"/>
      <c r="H43" s="61"/>
    </row>
    <row r="44" spans="2:8" ht="25.5">
      <c r="B44" s="104" t="s">
        <v>36</v>
      </c>
      <c r="C44" s="189">
        <f>0.25*(1343.2+4*10)*12</f>
        <v>4149.6000000000004</v>
      </c>
      <c r="D44" s="150" t="s">
        <v>186</v>
      </c>
      <c r="E44" s="90" t="s">
        <v>85</v>
      </c>
      <c r="H44" s="61"/>
    </row>
    <row r="45" spans="2:8" ht="22.5" customHeight="1">
      <c r="B45" s="106" t="s">
        <v>37</v>
      </c>
      <c r="C45" s="164">
        <f>2.34*(1343.2+4*10)*4</f>
        <v>12946.752</v>
      </c>
      <c r="D45" s="150" t="s">
        <v>180</v>
      </c>
      <c r="E45" s="90" t="s">
        <v>89</v>
      </c>
      <c r="H45" s="61"/>
    </row>
    <row r="46" spans="2:8" ht="25.5">
      <c r="B46" s="87" t="s">
        <v>38</v>
      </c>
      <c r="C46" s="3">
        <f>4190*4</f>
        <v>16760</v>
      </c>
      <c r="D46" s="71" t="s">
        <v>126</v>
      </c>
      <c r="E46" s="155"/>
      <c r="H46" s="61"/>
    </row>
    <row r="47" spans="2:8" ht="25.5">
      <c r="B47" s="107" t="s">
        <v>80</v>
      </c>
      <c r="C47" s="226">
        <f>(695.13*6+722.94*6)*0</f>
        <v>0</v>
      </c>
      <c r="D47" s="225" t="s">
        <v>222</v>
      </c>
      <c r="E47" s="90" t="s">
        <v>85</v>
      </c>
      <c r="H47" s="61"/>
    </row>
    <row r="48" spans="2:8" ht="25.5">
      <c r="B48" s="107" t="s">
        <v>67</v>
      </c>
      <c r="C48" s="224">
        <f>(700.55*6+728.57*6)</f>
        <v>8574.7199999999993</v>
      </c>
      <c r="D48" s="225" t="s">
        <v>221</v>
      </c>
      <c r="E48" s="90" t="s">
        <v>85</v>
      </c>
      <c r="H48" s="61"/>
    </row>
    <row r="49" spans="2:8" ht="25.5">
      <c r="B49" s="87" t="s">
        <v>41</v>
      </c>
      <c r="C49" s="222">
        <f>((5338.98*1)+(3813.56*11))*4</f>
        <v>189152.56</v>
      </c>
      <c r="D49" s="232" t="s">
        <v>310</v>
      </c>
      <c r="E49" s="90" t="s">
        <v>85</v>
      </c>
      <c r="H49" s="61"/>
    </row>
    <row r="50" spans="2:8" ht="15.75" hidden="1">
      <c r="B50" s="87" t="s">
        <v>43</v>
      </c>
      <c r="C50" s="4">
        <f>12000/1.18*0</f>
        <v>0</v>
      </c>
      <c r="D50" s="72" t="s">
        <v>78</v>
      </c>
      <c r="E50" s="90"/>
      <c r="H50" s="61"/>
    </row>
    <row r="51" spans="2:8" ht="50.25" customHeight="1">
      <c r="B51" s="87" t="s">
        <v>45</v>
      </c>
      <c r="C51" s="227">
        <f>638*(211.42*6*1.45/12+226.93*6*1.45/12)</f>
        <v>202758.79249999998</v>
      </c>
      <c r="D51" s="225" t="s">
        <v>384</v>
      </c>
      <c r="E51" s="90" t="s">
        <v>87</v>
      </c>
      <c r="H51" s="61"/>
    </row>
    <row r="52" spans="2:8" ht="25.5">
      <c r="B52" s="87" t="s">
        <v>46</v>
      </c>
      <c r="C52" s="224">
        <f>0*(232.8*6+243.11*6)</f>
        <v>0</v>
      </c>
      <c r="D52" s="228" t="s">
        <v>223</v>
      </c>
      <c r="E52" s="90"/>
      <c r="H52" s="61"/>
    </row>
    <row r="53" spans="2:8" ht="15.75">
      <c r="B53" s="108" t="s">
        <v>47</v>
      </c>
      <c r="C53" s="109">
        <f>C38+C39+C40+C41+C42+C43+C44+C45+C46+C47+C48+C49+C50+C51+C52</f>
        <v>1012680.7329117195</v>
      </c>
      <c r="D53" s="110"/>
      <c r="E53" s="90"/>
    </row>
    <row r="54" spans="2:8">
      <c r="B54" s="104" t="s">
        <v>48</v>
      </c>
      <c r="C54" s="1"/>
      <c r="D54" s="96"/>
      <c r="E54" s="90"/>
    </row>
    <row r="55" spans="2:8" s="63" customFormat="1" ht="51">
      <c r="B55" s="112" t="s">
        <v>49</v>
      </c>
      <c r="C55" s="222">
        <f>(18.43*96.4189*3)+(18.43*100.2864*9)+(1.78*(C14+C15)*12)</f>
        <v>256568.79414899996</v>
      </c>
      <c r="D55" s="229" t="s">
        <v>385</v>
      </c>
      <c r="E55" s="113"/>
    </row>
    <row r="56" spans="2:8">
      <c r="B56" s="106" t="s">
        <v>50</v>
      </c>
      <c r="C56" s="1">
        <f>13.69*735*0</f>
        <v>0</v>
      </c>
      <c r="D56" s="96" t="s">
        <v>386</v>
      </c>
      <c r="E56" s="90" t="s">
        <v>441</v>
      </c>
    </row>
    <row r="57" spans="2:8" ht="89.25">
      <c r="B57" s="114" t="s">
        <v>120</v>
      </c>
      <c r="C57" s="4">
        <f>17.51*(C14+C15)</f>
        <v>192317.58300000001</v>
      </c>
      <c r="D57" s="96" t="s">
        <v>387</v>
      </c>
      <c r="E57" s="90"/>
    </row>
    <row r="58" spans="2:8" ht="51">
      <c r="B58" s="104" t="s">
        <v>51</v>
      </c>
      <c r="C58" s="222">
        <f>(632.04+251.07/3)*43216/1000</f>
        <v>30930.987679999998</v>
      </c>
      <c r="D58" s="229" t="s">
        <v>388</v>
      </c>
      <c r="E58" s="115" t="s">
        <v>91</v>
      </c>
    </row>
    <row r="59" spans="2:8" ht="51">
      <c r="B59" s="116" t="s">
        <v>52</v>
      </c>
      <c r="C59" s="230">
        <f>((1320.88/12*3*96.4189)+(1320.88/12*9*100.2864))+((1320.88/12*3*96.4189)+(1320.88/12*9*100.2864))/1.302*25%</f>
        <v>156379.10778069432</v>
      </c>
      <c r="D59" s="229" t="s">
        <v>389</v>
      </c>
      <c r="E59" s="90"/>
    </row>
    <row r="60" spans="2:8" ht="15.75">
      <c r="B60" s="117" t="s">
        <v>53</v>
      </c>
      <c r="C60" s="109">
        <f>C55+C56+C57+C58+C59</f>
        <v>636196.47260969435</v>
      </c>
      <c r="D60" s="110"/>
      <c r="E60" s="90"/>
    </row>
    <row r="61" spans="2:8">
      <c r="B61" s="116" t="s">
        <v>54</v>
      </c>
      <c r="C61" s="1"/>
      <c r="D61" s="96"/>
      <c r="E61" s="90"/>
    </row>
    <row r="62" spans="2:8" s="62" customFormat="1" ht="12.75">
      <c r="B62" s="118" t="s">
        <v>55</v>
      </c>
      <c r="C62" s="2">
        <v>0</v>
      </c>
      <c r="D62" s="119"/>
      <c r="E62" s="86"/>
    </row>
    <row r="63" spans="2:8">
      <c r="B63" s="116" t="s">
        <v>56</v>
      </c>
      <c r="C63" s="88">
        <v>0</v>
      </c>
      <c r="D63" s="120"/>
      <c r="E63" s="90"/>
    </row>
    <row r="64" spans="2:8">
      <c r="B64" s="116" t="s">
        <v>57</v>
      </c>
      <c r="C64" s="88"/>
      <c r="D64" s="120"/>
      <c r="E64" s="90"/>
    </row>
    <row r="65" spans="2:8">
      <c r="B65" s="116" t="s">
        <v>58</v>
      </c>
      <c r="C65" s="88"/>
      <c r="D65" s="120"/>
      <c r="E65" s="90"/>
    </row>
    <row r="66" spans="2:8">
      <c r="B66" s="116" t="s">
        <v>59</v>
      </c>
      <c r="C66" s="88"/>
      <c r="D66" s="120"/>
      <c r="E66" s="90"/>
    </row>
    <row r="67" spans="2:8" ht="15.75">
      <c r="B67" s="117" t="s">
        <v>60</v>
      </c>
      <c r="C67" s="121">
        <f>C62+C63</f>
        <v>0</v>
      </c>
      <c r="D67" s="122"/>
      <c r="E67" s="90"/>
    </row>
    <row r="68" spans="2:8">
      <c r="B68" s="123" t="s">
        <v>61</v>
      </c>
      <c r="C68" s="88">
        <f>3.05*(C14+0)</f>
        <v>33499.064999999995</v>
      </c>
      <c r="D68" s="120" t="s">
        <v>390</v>
      </c>
      <c r="E68" s="90"/>
    </row>
    <row r="69" spans="2:8" ht="15.75">
      <c r="B69" s="124" t="s">
        <v>62</v>
      </c>
      <c r="C69" s="125">
        <f>1.49*(C14+0)</f>
        <v>16365.116999999998</v>
      </c>
      <c r="D69" s="126" t="s">
        <v>391</v>
      </c>
      <c r="E69" s="90"/>
      <c r="H69" s="64"/>
    </row>
    <row r="70" spans="2:8">
      <c r="B70" s="68" t="s">
        <v>63</v>
      </c>
      <c r="C70" s="88">
        <f>(C53+C60)*0.341</f>
        <v>562267.12708280212</v>
      </c>
      <c r="D70" s="120" t="s">
        <v>224</v>
      </c>
      <c r="E70" s="90"/>
    </row>
    <row r="71" spans="2:8" ht="38.25">
      <c r="B71" s="68" t="s">
        <v>121</v>
      </c>
      <c r="C71" s="125">
        <f>(C53+C60+C70)*0.132</f>
        <v>291871.05190375651</v>
      </c>
      <c r="D71" s="69" t="s">
        <v>225</v>
      </c>
      <c r="E71" s="90" t="s">
        <v>85</v>
      </c>
    </row>
    <row r="72" spans="2:8" ht="15.75">
      <c r="B72" s="127" t="s">
        <v>122</v>
      </c>
      <c r="C72" s="121">
        <f>C68+C69+C70+C71</f>
        <v>904002.36098655872</v>
      </c>
      <c r="D72" s="122"/>
      <c r="E72" s="90"/>
    </row>
    <row r="73" spans="2:8">
      <c r="B73" s="68" t="s">
        <v>64</v>
      </c>
      <c r="C73" s="88">
        <f>(C53+C60+C67+C72)*3%</f>
        <v>76586.386995239183</v>
      </c>
      <c r="D73" s="120"/>
      <c r="E73" s="90"/>
    </row>
    <row r="74" spans="2:8" ht="15.75">
      <c r="B74" s="128" t="s">
        <v>26</v>
      </c>
      <c r="C74" s="129">
        <f>C53+C60+C67+C72+C73</f>
        <v>2629465.953503212</v>
      </c>
      <c r="D74" s="130"/>
      <c r="E74" s="90"/>
    </row>
    <row r="75" spans="2:8" ht="15.75">
      <c r="B75" s="128" t="s">
        <v>65</v>
      </c>
      <c r="C75" s="129">
        <f>C74*1.18</f>
        <v>3102769.8251337898</v>
      </c>
      <c r="D75" s="130"/>
      <c r="E75" s="90"/>
    </row>
    <row r="76" spans="2:8" ht="15.75">
      <c r="B76" s="131"/>
      <c r="C76" s="132">
        <f>C35-C75</f>
        <v>-29285.377133789938</v>
      </c>
      <c r="D76" s="133"/>
      <c r="E76" s="90"/>
    </row>
    <row r="77" spans="2:8" ht="30">
      <c r="B77" s="134" t="s">
        <v>123</v>
      </c>
      <c r="C77" s="135">
        <f>C75/(C14+C15)/12</f>
        <v>23.54157239577199</v>
      </c>
      <c r="D77" s="136" t="s">
        <v>187</v>
      </c>
      <c r="E77" s="137"/>
    </row>
    <row r="78" spans="2:8">
      <c r="B78" s="138"/>
      <c r="E78" s="138"/>
    </row>
    <row r="79" spans="2:8" ht="15" customHeight="1">
      <c r="B79" s="802" t="s">
        <v>124</v>
      </c>
      <c r="C79" s="802"/>
      <c r="D79" s="802"/>
      <c r="E79" s="138"/>
    </row>
    <row r="80" spans="2:8" ht="32.25" customHeight="1">
      <c r="B80" s="803" t="s">
        <v>226</v>
      </c>
      <c r="C80" s="803"/>
      <c r="D80" s="803"/>
      <c r="E80" s="803"/>
    </row>
    <row r="81" spans="2:5" ht="34.5" customHeight="1">
      <c r="B81" s="803" t="s">
        <v>227</v>
      </c>
      <c r="C81" s="803"/>
      <c r="D81" s="803"/>
      <c r="E81" s="803"/>
    </row>
    <row r="82" spans="2:5" ht="31.5" customHeight="1">
      <c r="B82" s="157"/>
      <c r="C82" s="158"/>
      <c r="D82" s="159"/>
      <c r="E82" s="138"/>
    </row>
    <row r="83" spans="2:5">
      <c r="B83" s="160"/>
      <c r="C83" s="161"/>
      <c r="D83" s="162"/>
      <c r="E83" s="138"/>
    </row>
    <row r="84" spans="2:5">
      <c r="B84" s="797" t="s">
        <v>188</v>
      </c>
      <c r="C84" s="797"/>
      <c r="D84" s="797"/>
    </row>
    <row r="93" spans="2:5" s="65" customFormat="1">
      <c r="B93" s="66"/>
      <c r="C93" s="66"/>
      <c r="D93" s="66"/>
      <c r="E93" s="67"/>
    </row>
    <row r="94" spans="2:5" s="65" customFormat="1">
      <c r="B94" s="66"/>
      <c r="C94" s="66"/>
      <c r="D94" s="66"/>
      <c r="E94" s="67"/>
    </row>
    <row r="95" spans="2:5" s="65" customFormat="1">
      <c r="B95" s="66"/>
      <c r="C95" s="66"/>
      <c r="D95" s="66"/>
      <c r="E95" s="67"/>
    </row>
    <row r="96" spans="2:5" s="65" customFormat="1">
      <c r="B96" s="66"/>
      <c r="C96" s="66"/>
      <c r="D96" s="66"/>
      <c r="E96" s="67"/>
    </row>
    <row r="97" spans="2:5" s="65" customFormat="1">
      <c r="B97" s="66"/>
      <c r="C97" s="66"/>
      <c r="D97" s="66"/>
      <c r="E97" s="67"/>
    </row>
    <row r="98" spans="2:5" s="65" customFormat="1">
      <c r="B98" s="66"/>
      <c r="C98" s="66"/>
      <c r="D98" s="66"/>
      <c r="E98" s="67"/>
    </row>
    <row r="99" spans="2:5" s="65" customFormat="1">
      <c r="B99" s="66"/>
      <c r="C99" s="66"/>
      <c r="D99" s="66"/>
      <c r="E99" s="67"/>
    </row>
    <row r="100" spans="2:5" s="65" customFormat="1">
      <c r="B100" s="66"/>
      <c r="C100" s="66"/>
      <c r="D100" s="66"/>
      <c r="E100" s="67"/>
    </row>
  </sheetData>
  <mergeCells count="6">
    <mergeCell ref="B84:D84"/>
    <mergeCell ref="B79:D79"/>
    <mergeCell ref="B10:E10"/>
    <mergeCell ref="B11:E12"/>
    <mergeCell ref="B80:E80"/>
    <mergeCell ref="B81:E81"/>
  </mergeCells>
  <pageMargins left="0.47244094488188981" right="0.11" top="0.23" bottom="0.3" header="0.16" footer="0.2"/>
  <pageSetup paperSize="9" scale="85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F0"/>
  </sheetPr>
  <dimension ref="A1:G94"/>
  <sheetViews>
    <sheetView workbookViewId="0">
      <selection activeCell="A9" sqref="A9:D10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42578125" style="67" customWidth="1"/>
    <col min="5" max="5" width="5.140625" style="58" hidden="1" customWidth="1"/>
    <col min="6" max="6" width="26.7109375" style="58" hidden="1" customWidth="1"/>
    <col min="7" max="7" width="7.42578125" style="58" hidden="1" customWidth="1"/>
    <col min="8" max="16384" width="9.140625" style="58"/>
  </cols>
  <sheetData>
    <row r="1" spans="1:4" ht="15.75">
      <c r="C1" s="163" t="s">
        <v>0</v>
      </c>
    </row>
    <row r="2" spans="1:4" ht="15.75">
      <c r="C2" s="163" t="s">
        <v>216</v>
      </c>
    </row>
    <row r="3" spans="1:4" ht="15.75">
      <c r="C3" s="163" t="s">
        <v>189</v>
      </c>
    </row>
    <row r="4" spans="1:4" ht="15.75">
      <c r="C4" s="163"/>
    </row>
    <row r="5" spans="1:4" ht="15.75">
      <c r="C5" s="163" t="s">
        <v>217</v>
      </c>
    </row>
    <row r="6" spans="1:4" ht="15.75" customHeight="1">
      <c r="C6" s="70"/>
    </row>
    <row r="7" spans="1:4" ht="16.5" customHeight="1">
      <c r="C7" s="70"/>
    </row>
    <row r="8" spans="1:4" ht="30" customHeight="1">
      <c r="A8" s="798" t="s">
        <v>478</v>
      </c>
      <c r="B8" s="798"/>
      <c r="C8" s="798"/>
      <c r="D8" s="798"/>
    </row>
    <row r="9" spans="1:4" ht="15" customHeight="1">
      <c r="A9" s="798" t="s">
        <v>110</v>
      </c>
      <c r="B9" s="798"/>
      <c r="C9" s="798"/>
      <c r="D9" s="798"/>
    </row>
    <row r="10" spans="1:4" ht="15" customHeight="1">
      <c r="A10" s="798"/>
      <c r="B10" s="798"/>
      <c r="C10" s="798"/>
      <c r="D10" s="798"/>
    </row>
    <row r="11" spans="1:4" ht="15.75" customHeight="1">
      <c r="A11" s="73"/>
      <c r="B11" s="73"/>
      <c r="C11" s="73"/>
    </row>
    <row r="12" spans="1:4" ht="15.75">
      <c r="A12" s="74" t="s">
        <v>2</v>
      </c>
      <c r="B12" s="75">
        <v>2585.4</v>
      </c>
      <c r="C12" s="76" t="s">
        <v>72</v>
      </c>
    </row>
    <row r="13" spans="1:4" s="59" customFormat="1" ht="15.75">
      <c r="A13" s="77" t="s">
        <v>3</v>
      </c>
      <c r="B13" s="78">
        <v>99.5</v>
      </c>
      <c r="C13" s="79"/>
      <c r="D13" s="80"/>
    </row>
    <row r="14" spans="1:4" s="59" customFormat="1" ht="17.25" customHeight="1">
      <c r="A14" s="77"/>
      <c r="B14" s="78"/>
      <c r="C14" s="79"/>
      <c r="D14" s="80"/>
    </row>
    <row r="15" spans="1:4" ht="31.5">
      <c r="A15" s="81" t="s">
        <v>4</v>
      </c>
      <c r="B15" s="82" t="s">
        <v>5</v>
      </c>
      <c r="C15" s="83" t="s">
        <v>661</v>
      </c>
      <c r="D15" s="84" t="s">
        <v>84</v>
      </c>
    </row>
    <row r="16" spans="1:4">
      <c r="A16" s="85" t="s">
        <v>7</v>
      </c>
      <c r="B16" s="758">
        <f>B12*13.24*12</f>
        <v>410768.35200000007</v>
      </c>
      <c r="C16" s="150" t="s">
        <v>952</v>
      </c>
      <c r="D16" s="86" t="s">
        <v>85</v>
      </c>
    </row>
    <row r="17" spans="1:7">
      <c r="A17" s="91" t="s">
        <v>9</v>
      </c>
      <c r="B17" s="759">
        <f>B18+B20</f>
        <v>5815.0079999999998</v>
      </c>
      <c r="C17" s="89"/>
      <c r="D17" s="90"/>
    </row>
    <row r="18" spans="1:7">
      <c r="A18" s="756" t="s">
        <v>962</v>
      </c>
      <c r="B18" s="757">
        <f>B19</f>
        <v>5815.0079999999998</v>
      </c>
      <c r="C18" s="93"/>
      <c r="D18" s="90"/>
    </row>
    <row r="19" spans="1:7">
      <c r="A19" s="94" t="s">
        <v>10</v>
      </c>
      <c r="B19" s="149">
        <f>36.6*13.24*12</f>
        <v>5815.0079999999998</v>
      </c>
      <c r="C19" s="207" t="s">
        <v>953</v>
      </c>
      <c r="D19" s="90" t="s">
        <v>85</v>
      </c>
      <c r="F19" s="253" t="s">
        <v>132</v>
      </c>
      <c r="G19" s="254">
        <v>13.24</v>
      </c>
    </row>
    <row r="20" spans="1:7">
      <c r="A20" s="756" t="s">
        <v>963</v>
      </c>
      <c r="B20" s="757">
        <f>B21</f>
        <v>0</v>
      </c>
      <c r="C20" s="93"/>
      <c r="D20" s="90"/>
      <c r="F20" s="259" t="s">
        <v>134</v>
      </c>
      <c r="G20" s="260">
        <v>2585.4</v>
      </c>
    </row>
    <row r="21" spans="1:7">
      <c r="A21" s="94" t="s">
        <v>10</v>
      </c>
      <c r="B21" s="149">
        <f>62.9*13.24*12*0</f>
        <v>0</v>
      </c>
      <c r="C21" s="207" t="s">
        <v>954</v>
      </c>
      <c r="D21" s="90"/>
      <c r="F21" s="259" t="s">
        <v>135</v>
      </c>
      <c r="G21" s="260">
        <v>60</v>
      </c>
    </row>
    <row r="22" spans="1:7" ht="15.75">
      <c r="A22" s="95" t="s">
        <v>12</v>
      </c>
      <c r="B22" s="586">
        <f>B16+B17</f>
        <v>416583.36000000004</v>
      </c>
      <c r="C22" s="96"/>
      <c r="D22" s="90"/>
      <c r="F22" s="259" t="s">
        <v>136</v>
      </c>
      <c r="G22" s="260">
        <v>156</v>
      </c>
    </row>
    <row r="23" spans="1:7">
      <c r="A23" s="97" t="s">
        <v>13</v>
      </c>
      <c r="B23" s="1">
        <f>B24+B25+B26+B27+B28+B29+B30</f>
        <v>5189.76</v>
      </c>
      <c r="C23" s="96"/>
      <c r="D23" s="90"/>
      <c r="F23" s="247" t="s">
        <v>459</v>
      </c>
      <c r="G23" s="248">
        <v>1</v>
      </c>
    </row>
    <row r="24" spans="1:7">
      <c r="A24" s="68" t="s">
        <v>14</v>
      </c>
      <c r="B24" s="1">
        <f>34.98*12</f>
        <v>419.76</v>
      </c>
      <c r="C24" s="96" t="s">
        <v>15</v>
      </c>
      <c r="D24" s="90" t="s">
        <v>85</v>
      </c>
      <c r="F24" s="259" t="s">
        <v>139</v>
      </c>
      <c r="G24" s="260">
        <v>836</v>
      </c>
    </row>
    <row r="25" spans="1:7">
      <c r="A25" s="68" t="s">
        <v>16</v>
      </c>
      <c r="B25" s="1">
        <f>137.5*12*0</f>
        <v>0</v>
      </c>
      <c r="C25" s="96" t="s">
        <v>17</v>
      </c>
      <c r="D25" s="90"/>
      <c r="F25" s="259" t="s">
        <v>140</v>
      </c>
      <c r="G25" s="260">
        <v>0</v>
      </c>
    </row>
    <row r="26" spans="1:7">
      <c r="A26" s="68" t="s">
        <v>18</v>
      </c>
      <c r="B26" s="1">
        <f>123.75*12</f>
        <v>1485</v>
      </c>
      <c r="C26" s="96" t="s">
        <v>19</v>
      </c>
      <c r="D26" s="90" t="s">
        <v>85</v>
      </c>
      <c r="F26" s="259" t="s">
        <v>141</v>
      </c>
      <c r="G26" s="260">
        <v>0</v>
      </c>
    </row>
    <row r="27" spans="1:7">
      <c r="A27" s="68" t="s">
        <v>20</v>
      </c>
      <c r="B27" s="1">
        <f>123.75*12</f>
        <v>1485</v>
      </c>
      <c r="C27" s="96" t="s">
        <v>19</v>
      </c>
      <c r="D27" s="90" t="s">
        <v>85</v>
      </c>
      <c r="F27" s="259" t="s">
        <v>142</v>
      </c>
      <c r="G27" s="260">
        <v>1020.6</v>
      </c>
    </row>
    <row r="28" spans="1:7">
      <c r="A28" s="68" t="s">
        <v>66</v>
      </c>
      <c r="B28" s="1">
        <f>150*12</f>
        <v>1800</v>
      </c>
      <c r="C28" s="96" t="s">
        <v>21</v>
      </c>
      <c r="D28" s="90" t="s">
        <v>85</v>
      </c>
      <c r="F28" s="259" t="s">
        <v>143</v>
      </c>
      <c r="G28" s="277">
        <v>2541</v>
      </c>
    </row>
    <row r="29" spans="1:7">
      <c r="A29" s="68" t="s">
        <v>22</v>
      </c>
      <c r="B29" s="1">
        <f>137.5*12*0</f>
        <v>0</v>
      </c>
      <c r="C29" s="96" t="s">
        <v>17</v>
      </c>
      <c r="D29" s="90"/>
      <c r="F29" s="259" t="s">
        <v>144</v>
      </c>
      <c r="G29" s="278">
        <v>0</v>
      </c>
    </row>
    <row r="30" spans="1:7">
      <c r="A30" s="68" t="s">
        <v>23</v>
      </c>
      <c r="B30" s="1">
        <f>150*12*0</f>
        <v>0</v>
      </c>
      <c r="C30" s="96" t="s">
        <v>21</v>
      </c>
      <c r="D30" s="90"/>
      <c r="F30" s="259" t="s">
        <v>145</v>
      </c>
      <c r="G30" s="278">
        <v>374.35</v>
      </c>
    </row>
    <row r="31" spans="1:7">
      <c r="A31" s="97" t="s">
        <v>24</v>
      </c>
      <c r="B31" s="1">
        <v>0</v>
      </c>
      <c r="C31" s="96"/>
      <c r="D31" s="90"/>
      <c r="F31" s="259" t="s">
        <v>460</v>
      </c>
      <c r="G31" s="278">
        <v>8.5299999999999994</v>
      </c>
    </row>
    <row r="32" spans="1:7" ht="18.75">
      <c r="A32" s="98" t="s">
        <v>26</v>
      </c>
      <c r="B32" s="99">
        <f>B22+B23+B31</f>
        <v>421773.12000000005</v>
      </c>
      <c r="C32" s="96"/>
      <c r="D32" s="90"/>
      <c r="F32" s="259" t="s">
        <v>461</v>
      </c>
      <c r="G32" s="278">
        <f>(G27/3+G28)/2920</f>
        <v>0.98671232876712323</v>
      </c>
    </row>
    <row r="33" spans="1:7" ht="15.75">
      <c r="A33" s="82" t="s">
        <v>27</v>
      </c>
      <c r="B33" s="100" t="s">
        <v>5</v>
      </c>
      <c r="C33" s="101" t="s">
        <v>28</v>
      </c>
      <c r="D33" s="90"/>
      <c r="F33" s="259" t="s">
        <v>148</v>
      </c>
      <c r="G33" s="278">
        <v>0</v>
      </c>
    </row>
    <row r="34" spans="1:7">
      <c r="A34" s="102" t="s">
        <v>29</v>
      </c>
      <c r="B34" s="88"/>
      <c r="C34" s="103"/>
      <c r="D34" s="90"/>
      <c r="F34" s="259" t="s">
        <v>149</v>
      </c>
      <c r="G34" s="279">
        <v>0</v>
      </c>
    </row>
    <row r="35" spans="1:7" ht="75">
      <c r="A35" s="409" t="s">
        <v>30</v>
      </c>
      <c r="B35" s="340">
        <f>(G32*(3708+200)*1.5*1.15*1.083*1.302*6)+G32*((3708+200)*1.5*1.15*1.083*1.302*6)+(0.104*G27*12)</f>
        <v>113826.14403211625</v>
      </c>
      <c r="C35" s="341" t="s">
        <v>955</v>
      </c>
      <c r="D35" s="288" t="s">
        <v>86</v>
      </c>
      <c r="F35" s="247" t="s">
        <v>151</v>
      </c>
      <c r="G35" s="279">
        <v>5</v>
      </c>
    </row>
    <row r="36" spans="1:7" ht="30">
      <c r="A36" s="287" t="s">
        <v>31</v>
      </c>
      <c r="B36" s="342">
        <f>(G34*9921.13*6)+(G34*10317.11*6)</f>
        <v>0</v>
      </c>
      <c r="C36" s="343" t="s">
        <v>509</v>
      </c>
      <c r="D36" s="258"/>
      <c r="F36" s="247" t="s">
        <v>462</v>
      </c>
      <c r="G36" s="279">
        <v>643.1</v>
      </c>
    </row>
    <row r="37" spans="1:7" ht="45">
      <c r="A37" s="287" t="s">
        <v>32</v>
      </c>
      <c r="B37" s="498">
        <f>(G33*9921.13*6)+(G33*10317.11*6)+(G20*10.41812*12)*G25</f>
        <v>0</v>
      </c>
      <c r="C37" s="344" t="s">
        <v>770</v>
      </c>
      <c r="D37" s="258"/>
      <c r="F37" s="285" t="s">
        <v>463</v>
      </c>
      <c r="G37" s="286">
        <v>643.1</v>
      </c>
    </row>
    <row r="38" spans="1:7">
      <c r="A38" s="287" t="s">
        <v>34</v>
      </c>
      <c r="B38" s="345">
        <f>(16.06+16.7)*G21</f>
        <v>1965.6</v>
      </c>
      <c r="C38" s="346" t="s">
        <v>771</v>
      </c>
      <c r="D38" s="258" t="s">
        <v>88</v>
      </c>
      <c r="F38" s="289" t="s">
        <v>464</v>
      </c>
      <c r="G38" s="290">
        <v>9600</v>
      </c>
    </row>
    <row r="39" spans="1:7" ht="36.75" customHeight="1">
      <c r="A39" s="287" t="s">
        <v>35</v>
      </c>
      <c r="B39" s="345">
        <f>(49.72+51.71)*2*0</f>
        <v>0</v>
      </c>
      <c r="C39" s="346" t="s">
        <v>469</v>
      </c>
      <c r="D39" s="258"/>
      <c r="F39" s="247" t="s">
        <v>465</v>
      </c>
      <c r="G39" s="279">
        <v>1</v>
      </c>
    </row>
    <row r="40" spans="1:7">
      <c r="A40" s="287" t="s">
        <v>36</v>
      </c>
      <c r="B40" s="347">
        <f>0.25*G36*12</f>
        <v>1929.3000000000002</v>
      </c>
      <c r="C40" s="348" t="s">
        <v>956</v>
      </c>
      <c r="D40" s="258" t="s">
        <v>85</v>
      </c>
      <c r="F40" s="247" t="s">
        <v>467</v>
      </c>
      <c r="G40" s="279">
        <v>2</v>
      </c>
    </row>
    <row r="41" spans="1:7">
      <c r="A41" s="291" t="s">
        <v>37</v>
      </c>
      <c r="B41" s="554">
        <f>2.34*G36*4</f>
        <v>6019.4160000000002</v>
      </c>
      <c r="C41" s="251" t="s">
        <v>957</v>
      </c>
      <c r="D41" s="258" t="s">
        <v>89</v>
      </c>
    </row>
    <row r="42" spans="1:7">
      <c r="A42" s="417" t="s">
        <v>158</v>
      </c>
      <c r="B42" s="427">
        <f>315.28*12</f>
        <v>3783.3599999999997</v>
      </c>
      <c r="C42" s="394" t="s">
        <v>951</v>
      </c>
      <c r="D42" s="377"/>
    </row>
    <row r="43" spans="1:7" ht="45">
      <c r="A43" s="417" t="s">
        <v>67</v>
      </c>
      <c r="B43" s="381">
        <f>(635.59*6+661.01*6)*G39</f>
        <v>7779.6</v>
      </c>
      <c r="C43" s="385" t="s">
        <v>496</v>
      </c>
      <c r="D43" s="377" t="s">
        <v>85</v>
      </c>
    </row>
    <row r="44" spans="1:7" ht="30">
      <c r="A44" s="417" t="s">
        <v>190</v>
      </c>
      <c r="B44" s="418">
        <f>(466.1*6+484.74*6)*G23</f>
        <v>5705.0400000000009</v>
      </c>
      <c r="C44" s="385" t="s">
        <v>497</v>
      </c>
      <c r="D44" s="377" t="s">
        <v>85</v>
      </c>
    </row>
    <row r="45" spans="1:7">
      <c r="A45" s="400" t="s">
        <v>47</v>
      </c>
      <c r="B45" s="437">
        <f>SUM(B35:B44)</f>
        <v>141008.46003211627</v>
      </c>
      <c r="C45" s="428"/>
      <c r="D45" s="425"/>
    </row>
    <row r="46" spans="1:7">
      <c r="A46" s="409" t="s">
        <v>48</v>
      </c>
      <c r="B46" s="407"/>
      <c r="C46" s="428"/>
      <c r="D46" s="425"/>
    </row>
    <row r="47" spans="1:7" s="63" customFormat="1" ht="60">
      <c r="A47" s="421" t="s">
        <v>49</v>
      </c>
      <c r="B47" s="413">
        <f>(G31*100.2134*6)+(G31*104.2268)+(1.71*(B12+B13)*12)</f>
        <v>61112.124415999999</v>
      </c>
      <c r="C47" s="422" t="s">
        <v>958</v>
      </c>
      <c r="D47" s="423"/>
    </row>
    <row r="48" spans="1:7" s="63" customFormat="1">
      <c r="A48" s="291" t="s">
        <v>50</v>
      </c>
      <c r="B48" s="276">
        <f>15.92*G24</f>
        <v>13309.12</v>
      </c>
      <c r="C48" s="424" t="s">
        <v>981</v>
      </c>
      <c r="D48" s="377" t="s">
        <v>90</v>
      </c>
    </row>
    <row r="49" spans="1:4" ht="120">
      <c r="A49" s="426" t="s">
        <v>120</v>
      </c>
      <c r="B49" s="427">
        <f>17.51*(B12+B13)</f>
        <v>47012.599000000009</v>
      </c>
      <c r="C49" s="428" t="s">
        <v>959</v>
      </c>
      <c r="D49" s="377"/>
    </row>
    <row r="50" spans="1:4" ht="60">
      <c r="A50" s="287" t="s">
        <v>51</v>
      </c>
      <c r="B50" s="440">
        <f>(654.11+263.56/3)*G38/1000</f>
        <v>7122.848</v>
      </c>
      <c r="C50" s="424" t="s">
        <v>960</v>
      </c>
      <c r="D50" s="417" t="s">
        <v>91</v>
      </c>
    </row>
    <row r="51" spans="1:4" ht="75">
      <c r="A51" s="430" t="s">
        <v>52</v>
      </c>
      <c r="B51" s="431">
        <f>((G30/12*6*100.2134)+(G30/12*6*104.2268))+((G30/12*6*100.2134)+(G30/12*6*104.2268))/1.302*25%</f>
        <v>45613.654810384032</v>
      </c>
      <c r="C51" s="422" t="s">
        <v>961</v>
      </c>
      <c r="D51" s="377"/>
    </row>
    <row r="52" spans="1:4" ht="15.75">
      <c r="A52" s="117" t="s">
        <v>53</v>
      </c>
      <c r="B52" s="99">
        <f>SUM(B47:B51)</f>
        <v>174170.34622638405</v>
      </c>
      <c r="C52" s="110"/>
      <c r="D52" s="90"/>
    </row>
    <row r="53" spans="1:4">
      <c r="A53" s="116" t="s">
        <v>54</v>
      </c>
      <c r="B53" s="1"/>
      <c r="C53" s="96"/>
      <c r="D53" s="90"/>
    </row>
    <row r="54" spans="1:4" s="62" customFormat="1" ht="12.75">
      <c r="A54" s="118" t="s">
        <v>55</v>
      </c>
      <c r="B54" s="2">
        <v>0</v>
      </c>
      <c r="C54" s="119"/>
      <c r="D54" s="86"/>
    </row>
    <row r="55" spans="1:4">
      <c r="A55" s="116" t="s">
        <v>56</v>
      </c>
      <c r="B55" s="88">
        <v>0</v>
      </c>
      <c r="C55" s="120"/>
      <c r="D55" s="90"/>
    </row>
    <row r="56" spans="1:4">
      <c r="A56" s="116" t="s">
        <v>57</v>
      </c>
      <c r="B56" s="88"/>
      <c r="C56" s="120"/>
      <c r="D56" s="90"/>
    </row>
    <row r="57" spans="1:4">
      <c r="A57" s="116" t="s">
        <v>58</v>
      </c>
      <c r="B57" s="88"/>
      <c r="C57" s="120"/>
      <c r="D57" s="90"/>
    </row>
    <row r="58" spans="1:4">
      <c r="A58" s="116" t="s">
        <v>59</v>
      </c>
      <c r="B58" s="88"/>
      <c r="C58" s="120"/>
      <c r="D58" s="90"/>
    </row>
    <row r="59" spans="1:4" ht="15.75">
      <c r="A59" s="117" t="s">
        <v>60</v>
      </c>
      <c r="B59" s="132">
        <f>B54+B55</f>
        <v>0</v>
      </c>
      <c r="C59" s="122"/>
      <c r="D59" s="90"/>
    </row>
    <row r="60" spans="1:4" ht="30">
      <c r="A60" s="123" t="s">
        <v>61</v>
      </c>
      <c r="B60" s="262">
        <f>3.051*(B12+B13)</f>
        <v>8191.6299000000008</v>
      </c>
      <c r="C60" s="301" t="s">
        <v>974</v>
      </c>
      <c r="D60" s="90"/>
    </row>
    <row r="61" spans="1:4">
      <c r="A61" s="124" t="s">
        <v>62</v>
      </c>
      <c r="B61" s="304">
        <f>1.54*(B12+B13)</f>
        <v>4134.7460000000001</v>
      </c>
      <c r="C61" s="461" t="s">
        <v>975</v>
      </c>
      <c r="D61" s="90"/>
    </row>
    <row r="62" spans="1:4">
      <c r="A62" s="68" t="s">
        <v>63</v>
      </c>
      <c r="B62" s="262">
        <f>(B45+B52)*0.348</f>
        <v>109682.2245779581</v>
      </c>
      <c r="C62" s="301" t="s">
        <v>514</v>
      </c>
      <c r="D62" s="90"/>
    </row>
    <row r="63" spans="1:4" ht="38.25">
      <c r="A63" s="68" t="s">
        <v>121</v>
      </c>
      <c r="B63" s="125">
        <f>(B45+B52+B62)*0.132</f>
        <v>56081.656070412515</v>
      </c>
      <c r="C63" s="69" t="s">
        <v>225</v>
      </c>
      <c r="D63" s="90" t="s">
        <v>85</v>
      </c>
    </row>
    <row r="64" spans="1:4" ht="15.75">
      <c r="A64" s="127" t="s">
        <v>122</v>
      </c>
      <c r="B64" s="132">
        <f>B60+B61+B62+B63</f>
        <v>178090.25654837061</v>
      </c>
      <c r="C64" s="122"/>
      <c r="D64" s="90"/>
    </row>
    <row r="65" spans="1:4">
      <c r="A65" s="68" t="s">
        <v>64</v>
      </c>
      <c r="B65" s="88">
        <f>(B45+B52+B59+B64)*3%</f>
        <v>14798.071884206127</v>
      </c>
      <c r="C65" s="120"/>
      <c r="D65" s="90"/>
    </row>
    <row r="66" spans="1:4" ht="15.75">
      <c r="A66" s="128" t="s">
        <v>26</v>
      </c>
      <c r="B66" s="129">
        <f>B45+B52+B59+B64+B65</f>
        <v>508067.13469107705</v>
      </c>
      <c r="C66" s="130"/>
      <c r="D66" s="90"/>
    </row>
    <row r="67" spans="1:4" ht="15.75">
      <c r="A67" s="128" t="s">
        <v>65</v>
      </c>
      <c r="B67" s="595">
        <f>B66*1.2</f>
        <v>609680.56162929244</v>
      </c>
      <c r="C67" s="130"/>
      <c r="D67" s="90"/>
    </row>
    <row r="68" spans="1:4" ht="15.75">
      <c r="A68" s="131"/>
      <c r="B68" s="132">
        <f>B32-B67</f>
        <v>-187907.44162929239</v>
      </c>
      <c r="C68" s="133"/>
      <c r="D68" s="90"/>
    </row>
    <row r="69" spans="1:4" ht="30">
      <c r="A69" s="134" t="s">
        <v>123</v>
      </c>
      <c r="B69" s="135">
        <f>B67/(B12+B13)/10</f>
        <v>22.707756774155179</v>
      </c>
      <c r="C69" s="136" t="s">
        <v>392</v>
      </c>
      <c r="D69" s="137"/>
    </row>
    <row r="70" spans="1:4">
      <c r="A70" s="138"/>
      <c r="D70" s="138"/>
    </row>
    <row r="71" spans="1:4" ht="15" customHeight="1">
      <c r="A71" s="799" t="s">
        <v>124</v>
      </c>
      <c r="B71" s="799"/>
      <c r="C71" s="799"/>
      <c r="D71" s="138"/>
    </row>
    <row r="72" spans="1:4" ht="38.25" customHeight="1">
      <c r="A72" s="800" t="s">
        <v>518</v>
      </c>
      <c r="B72" s="800"/>
      <c r="C72" s="800"/>
      <c r="D72" s="196"/>
    </row>
    <row r="73" spans="1:4" ht="36.75" customHeight="1">
      <c r="A73" s="800" t="s">
        <v>519</v>
      </c>
      <c r="B73" s="800"/>
      <c r="C73" s="800"/>
      <c r="D73" s="196"/>
    </row>
    <row r="74" spans="1:4" ht="26.25" customHeight="1">
      <c r="A74" s="160"/>
      <c r="B74" s="453"/>
      <c r="C74" s="193"/>
      <c r="D74" s="138"/>
    </row>
    <row r="75" spans="1:4">
      <c r="A75" s="797" t="s">
        <v>505</v>
      </c>
      <c r="B75" s="797"/>
      <c r="C75" s="797"/>
      <c r="D75" s="138"/>
    </row>
    <row r="78" spans="1:4" ht="18.75">
      <c r="A78" s="170"/>
      <c r="B78" s="170"/>
      <c r="C78" s="170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  <row r="92" spans="1:4" s="65" customFormat="1">
      <c r="A92" s="66"/>
      <c r="B92" s="66"/>
      <c r="C92" s="66"/>
      <c r="D92" s="67"/>
    </row>
    <row r="93" spans="1:4" s="65" customFormat="1">
      <c r="A93" s="66"/>
      <c r="B93" s="66"/>
      <c r="C93" s="66"/>
      <c r="D93" s="67"/>
    </row>
    <row r="94" spans="1:4" s="65" customFormat="1">
      <c r="A94" s="66"/>
      <c r="B94" s="66"/>
      <c r="C94" s="66"/>
      <c r="D94" s="67"/>
    </row>
  </sheetData>
  <mergeCells count="6">
    <mergeCell ref="A75:C75"/>
    <mergeCell ref="A71:C71"/>
    <mergeCell ref="A8:D8"/>
    <mergeCell ref="A9:D10"/>
    <mergeCell ref="A72:C72"/>
    <mergeCell ref="A73:C73"/>
  </mergeCells>
  <pageMargins left="0.51181102362204722" right="0.11811023622047244" top="0.15748031496062992" bottom="0.15748031496062992" header="0.31496062992125984" footer="0.31496062992125984"/>
  <pageSetup paperSize="9" scale="85" orientation="portrait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F0"/>
  </sheetPr>
  <dimension ref="A1:G94"/>
  <sheetViews>
    <sheetView topLeftCell="A35" workbookViewId="0">
      <selection activeCell="E35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28515625" style="67" customWidth="1"/>
    <col min="5" max="5" width="5.7109375" style="58" hidden="1" customWidth="1"/>
    <col min="6" max="6" width="26.7109375" style="58" hidden="1" customWidth="1"/>
    <col min="7" max="7" width="8.42578125" style="58" hidden="1" customWidth="1"/>
    <col min="8" max="8" width="9.140625" style="58" customWidth="1"/>
    <col min="9" max="16384" width="9.140625" style="58"/>
  </cols>
  <sheetData>
    <row r="1" spans="1:4" ht="15.75">
      <c r="C1" s="163" t="s">
        <v>0</v>
      </c>
    </row>
    <row r="2" spans="1:4" ht="15.75">
      <c r="C2" s="163" t="s">
        <v>216</v>
      </c>
    </row>
    <row r="3" spans="1:4" ht="15.75">
      <c r="C3" s="163" t="s">
        <v>189</v>
      </c>
    </row>
    <row r="4" spans="1:4" ht="15.75">
      <c r="C4" s="163"/>
    </row>
    <row r="5" spans="1:4" ht="15.75">
      <c r="C5" s="163" t="s">
        <v>217</v>
      </c>
    </row>
    <row r="6" spans="1:4" ht="15.75">
      <c r="C6" s="70"/>
    </row>
    <row r="7" spans="1:4" ht="15.75">
      <c r="C7" s="70"/>
    </row>
    <row r="8" spans="1:4" ht="27.75" customHeight="1">
      <c r="A8" s="798" t="s">
        <v>478</v>
      </c>
      <c r="B8" s="798"/>
      <c r="C8" s="798"/>
      <c r="D8" s="798"/>
    </row>
    <row r="9" spans="1:4" ht="15" customHeight="1">
      <c r="A9" s="798" t="s">
        <v>111</v>
      </c>
      <c r="B9" s="798"/>
      <c r="C9" s="798"/>
      <c r="D9" s="798"/>
    </row>
    <row r="10" spans="1:4" ht="15" customHeight="1">
      <c r="A10" s="798"/>
      <c r="B10" s="798"/>
      <c r="C10" s="798"/>
      <c r="D10" s="798"/>
    </row>
    <row r="11" spans="1:4" ht="15.75">
      <c r="A11" s="73"/>
      <c r="B11" s="73"/>
      <c r="C11" s="73"/>
    </row>
    <row r="12" spans="1:4" ht="15.75">
      <c r="A12" s="74" t="s">
        <v>2</v>
      </c>
      <c r="B12" s="75">
        <v>2866.9</v>
      </c>
      <c r="C12" s="76" t="s">
        <v>72</v>
      </c>
    </row>
    <row r="13" spans="1:4" s="59" customFormat="1" ht="15.75">
      <c r="A13" s="77" t="s">
        <v>3</v>
      </c>
      <c r="B13" s="78">
        <v>1486.6</v>
      </c>
      <c r="C13" s="79"/>
      <c r="D13" s="80"/>
    </row>
    <row r="14" spans="1:4" s="59" customFormat="1" ht="15.75">
      <c r="A14" s="77"/>
      <c r="B14" s="78"/>
      <c r="C14" s="79"/>
      <c r="D14" s="80"/>
    </row>
    <row r="15" spans="1:4" ht="31.5">
      <c r="A15" s="190" t="s">
        <v>4</v>
      </c>
      <c r="B15" s="180" t="s">
        <v>5</v>
      </c>
      <c r="C15" s="180" t="s">
        <v>661</v>
      </c>
      <c r="D15" s="84" t="s">
        <v>84</v>
      </c>
    </row>
    <row r="16" spans="1:4">
      <c r="A16" s="191" t="s">
        <v>7</v>
      </c>
      <c r="B16" s="149">
        <f>B12*12.13*12</f>
        <v>417305.96400000004</v>
      </c>
      <c r="C16" s="207" t="s">
        <v>967</v>
      </c>
      <c r="D16" s="86" t="s">
        <v>85</v>
      </c>
    </row>
    <row r="17" spans="1:7">
      <c r="A17" s="192" t="s">
        <v>9</v>
      </c>
      <c r="B17" s="172">
        <f>B18+B20</f>
        <v>216389.49599999998</v>
      </c>
      <c r="C17" s="93"/>
      <c r="D17" s="173"/>
    </row>
    <row r="18" spans="1:7">
      <c r="A18" s="68" t="s">
        <v>81</v>
      </c>
      <c r="B18" s="92">
        <f>B19</f>
        <v>205370.60399999999</v>
      </c>
      <c r="C18" s="93"/>
      <c r="D18" s="90"/>
    </row>
    <row r="19" spans="1:7">
      <c r="A19" s="94" t="s">
        <v>10</v>
      </c>
      <c r="B19" s="149">
        <f>1410.9*12.13*12</f>
        <v>205370.60399999999</v>
      </c>
      <c r="C19" s="207" t="s">
        <v>968</v>
      </c>
      <c r="D19" s="90" t="s">
        <v>85</v>
      </c>
      <c r="F19" s="253" t="s">
        <v>132</v>
      </c>
      <c r="G19" s="254">
        <v>12.13</v>
      </c>
    </row>
    <row r="20" spans="1:7">
      <c r="A20" s="68" t="s">
        <v>82</v>
      </c>
      <c r="B20" s="92">
        <f>B21</f>
        <v>11018.892000000002</v>
      </c>
      <c r="C20" s="93"/>
      <c r="D20" s="90"/>
      <c r="F20" s="259" t="s">
        <v>134</v>
      </c>
      <c r="G20" s="260">
        <v>2866.9</v>
      </c>
    </row>
    <row r="21" spans="1:7">
      <c r="A21" s="94" t="s">
        <v>10</v>
      </c>
      <c r="B21" s="149">
        <f>75.7*12.13*12</f>
        <v>11018.892000000002</v>
      </c>
      <c r="C21" s="207" t="s">
        <v>969</v>
      </c>
      <c r="D21" s="90" t="s">
        <v>85</v>
      </c>
      <c r="F21" s="259" t="s">
        <v>135</v>
      </c>
      <c r="G21" s="260">
        <v>64</v>
      </c>
    </row>
    <row r="22" spans="1:7" ht="15.75">
      <c r="A22" s="95" t="s">
        <v>12</v>
      </c>
      <c r="B22" s="586">
        <f>B16+B17</f>
        <v>633695.46</v>
      </c>
      <c r="C22" s="96"/>
      <c r="D22" s="90"/>
      <c r="F22" s="259" t="s">
        <v>136</v>
      </c>
      <c r="G22" s="260">
        <v>154</v>
      </c>
    </row>
    <row r="23" spans="1:7">
      <c r="A23" s="97" t="s">
        <v>13</v>
      </c>
      <c r="B23" s="1">
        <f>B24+B25+B26+B27+B28+B29+B30</f>
        <v>5039.76</v>
      </c>
      <c r="C23" s="96"/>
      <c r="D23" s="90"/>
      <c r="F23" s="247" t="s">
        <v>459</v>
      </c>
      <c r="G23" s="248">
        <v>0</v>
      </c>
    </row>
    <row r="24" spans="1:7">
      <c r="A24" s="68" t="s">
        <v>14</v>
      </c>
      <c r="B24" s="1">
        <f>34.98*12</f>
        <v>419.76</v>
      </c>
      <c r="C24" s="96" t="s">
        <v>15</v>
      </c>
      <c r="D24" s="90" t="s">
        <v>85</v>
      </c>
      <c r="F24" s="259" t="s">
        <v>139</v>
      </c>
      <c r="G24" s="260">
        <v>1149</v>
      </c>
    </row>
    <row r="25" spans="1:7">
      <c r="A25" s="68" t="s">
        <v>16</v>
      </c>
      <c r="B25" s="1">
        <f>137.5*12*0</f>
        <v>0</v>
      </c>
      <c r="C25" s="96" t="s">
        <v>17</v>
      </c>
      <c r="D25" s="90"/>
      <c r="F25" s="259" t="s">
        <v>140</v>
      </c>
      <c r="G25" s="260">
        <v>0</v>
      </c>
    </row>
    <row r="26" spans="1:7">
      <c r="A26" s="68" t="s">
        <v>18</v>
      </c>
      <c r="B26" s="1">
        <f>123.75*12</f>
        <v>1485</v>
      </c>
      <c r="C26" s="96" t="s">
        <v>19</v>
      </c>
      <c r="D26" s="90" t="s">
        <v>85</v>
      </c>
      <c r="F26" s="259" t="s">
        <v>141</v>
      </c>
      <c r="G26" s="260">
        <v>0</v>
      </c>
    </row>
    <row r="27" spans="1:7">
      <c r="A27" s="68" t="s">
        <v>20</v>
      </c>
      <c r="B27" s="1">
        <f>123.75*12</f>
        <v>1485</v>
      </c>
      <c r="C27" s="96" t="s">
        <v>19</v>
      </c>
      <c r="D27" s="90" t="s">
        <v>85</v>
      </c>
      <c r="F27" s="259" t="s">
        <v>142</v>
      </c>
      <c r="G27" s="260">
        <v>2553.5</v>
      </c>
    </row>
    <row r="28" spans="1:7">
      <c r="A28" s="68" t="s">
        <v>66</v>
      </c>
      <c r="B28" s="1">
        <f>150*12*0</f>
        <v>0</v>
      </c>
      <c r="C28" s="96" t="s">
        <v>21</v>
      </c>
      <c r="D28" s="90"/>
      <c r="F28" s="259" t="s">
        <v>143</v>
      </c>
      <c r="G28" s="277">
        <v>1136.4000000000001</v>
      </c>
    </row>
    <row r="29" spans="1:7">
      <c r="A29" s="68" t="s">
        <v>22</v>
      </c>
      <c r="B29" s="1">
        <f>137.5*12</f>
        <v>1650</v>
      </c>
      <c r="C29" s="96" t="s">
        <v>17</v>
      </c>
      <c r="D29" s="90" t="s">
        <v>85</v>
      </c>
      <c r="F29" s="259" t="s">
        <v>144</v>
      </c>
      <c r="G29" s="278">
        <v>0</v>
      </c>
    </row>
    <row r="30" spans="1:7">
      <c r="A30" s="68" t="s">
        <v>23</v>
      </c>
      <c r="B30" s="1">
        <f>150*12*0</f>
        <v>0</v>
      </c>
      <c r="C30" s="96" t="s">
        <v>21</v>
      </c>
      <c r="D30" s="90"/>
      <c r="F30" s="259" t="s">
        <v>145</v>
      </c>
      <c r="G30" s="278">
        <v>416.79</v>
      </c>
    </row>
    <row r="31" spans="1:7">
      <c r="A31" s="97" t="s">
        <v>24</v>
      </c>
      <c r="B31" s="1" t="e">
        <f>#REF!</f>
        <v>#REF!</v>
      </c>
      <c r="C31" s="96"/>
      <c r="D31" s="90"/>
      <c r="F31" s="259" t="s">
        <v>460</v>
      </c>
      <c r="G31" s="278">
        <v>9.83</v>
      </c>
    </row>
    <row r="32" spans="1:7" ht="18.75">
      <c r="A32" s="98" t="s">
        <v>26</v>
      </c>
      <c r="B32" s="99" t="e">
        <f>B22+B23+B31</f>
        <v>#REF!</v>
      </c>
      <c r="C32" s="96"/>
      <c r="D32" s="90"/>
      <c r="F32" s="259" t="s">
        <v>461</v>
      </c>
      <c r="G32" s="278">
        <f>(G27/3+G28)/2920</f>
        <v>0.68067351598173509</v>
      </c>
    </row>
    <row r="33" spans="1:7" ht="15.75">
      <c r="A33" s="82" t="s">
        <v>27</v>
      </c>
      <c r="B33" s="100" t="s">
        <v>5</v>
      </c>
      <c r="C33" s="101" t="s">
        <v>28</v>
      </c>
      <c r="D33" s="90"/>
      <c r="F33" s="259" t="s">
        <v>148</v>
      </c>
      <c r="G33" s="278">
        <v>0</v>
      </c>
    </row>
    <row r="34" spans="1:7">
      <c r="A34" s="102" t="s">
        <v>29</v>
      </c>
      <c r="B34" s="88"/>
      <c r="C34" s="103"/>
      <c r="D34" s="90"/>
      <c r="F34" s="259" t="s">
        <v>149</v>
      </c>
      <c r="G34" s="279">
        <v>0</v>
      </c>
    </row>
    <row r="35" spans="1:7" ht="51">
      <c r="A35" s="496" t="s">
        <v>30</v>
      </c>
      <c r="B35" s="599">
        <f>(G32*(3708+200)*1.5*1.15*1.083*1.302*6)+G32*((3708+200)*1.5*1.15*1.083*1.302*6)+(0.104*G27*12)</f>
        <v>80829.92658653103</v>
      </c>
      <c r="C35" s="497" t="s">
        <v>970</v>
      </c>
      <c r="D35" s="600" t="s">
        <v>86</v>
      </c>
      <c r="F35" s="247" t="s">
        <v>151</v>
      </c>
      <c r="G35" s="279">
        <v>5</v>
      </c>
    </row>
    <row r="36" spans="1:7" ht="25.5">
      <c r="A36" s="104" t="s">
        <v>31</v>
      </c>
      <c r="B36" s="601">
        <f>(G34*9921.13*6)+(G34*10317.11*6)</f>
        <v>0</v>
      </c>
      <c r="C36" s="176" t="s">
        <v>509</v>
      </c>
      <c r="D36" s="234"/>
      <c r="F36" s="247" t="s">
        <v>462</v>
      </c>
      <c r="G36" s="279">
        <v>768.6</v>
      </c>
    </row>
    <row r="37" spans="1:7" ht="38.25">
      <c r="A37" s="104" t="s">
        <v>32</v>
      </c>
      <c r="B37" s="760">
        <f>(G33*9921.13*6)+(G33*10317.11*6)+(G20*10.41812*12)*G25</f>
        <v>0</v>
      </c>
      <c r="C37" s="198" t="s">
        <v>781</v>
      </c>
      <c r="D37" s="234"/>
      <c r="F37" s="285" t="s">
        <v>463</v>
      </c>
      <c r="G37" s="286">
        <v>768.6</v>
      </c>
    </row>
    <row r="38" spans="1:7">
      <c r="A38" s="104" t="s">
        <v>34</v>
      </c>
      <c r="B38" s="602">
        <f>(16.06+16.7)*G21</f>
        <v>2096.64</v>
      </c>
      <c r="C38" s="603" t="s">
        <v>782</v>
      </c>
      <c r="D38" s="234" t="s">
        <v>88</v>
      </c>
      <c r="F38" s="289" t="s">
        <v>464</v>
      </c>
      <c r="G38" s="290">
        <v>13524</v>
      </c>
    </row>
    <row r="39" spans="1:7" ht="36.75" customHeight="1">
      <c r="A39" s="104" t="s">
        <v>35</v>
      </c>
      <c r="B39" s="602">
        <f>(49.72+51.71)*2*0</f>
        <v>0</v>
      </c>
      <c r="C39" s="603" t="s">
        <v>469</v>
      </c>
      <c r="D39" s="234"/>
      <c r="F39" s="247" t="s">
        <v>465</v>
      </c>
      <c r="G39" s="279">
        <v>1</v>
      </c>
    </row>
    <row r="40" spans="1:7">
      <c r="A40" s="104" t="s">
        <v>36</v>
      </c>
      <c r="B40" s="604">
        <f>0.25*G36*12</f>
        <v>2305.8000000000002</v>
      </c>
      <c r="C40" s="605" t="s">
        <v>971</v>
      </c>
      <c r="D40" s="234" t="s">
        <v>85</v>
      </c>
      <c r="F40" s="247" t="s">
        <v>467</v>
      </c>
      <c r="G40" s="279">
        <v>2</v>
      </c>
    </row>
    <row r="41" spans="1:7">
      <c r="A41" s="106" t="s">
        <v>37</v>
      </c>
      <c r="B41" s="761">
        <f>2.34*G36*4</f>
        <v>7194.0959999999995</v>
      </c>
      <c r="C41" s="606" t="s">
        <v>972</v>
      </c>
      <c r="D41" s="234" t="s">
        <v>89</v>
      </c>
    </row>
    <row r="42" spans="1:7">
      <c r="A42" s="501" t="s">
        <v>158</v>
      </c>
      <c r="B42" s="502">
        <f>850.13*12</f>
        <v>10201.56</v>
      </c>
      <c r="C42" s="488" t="s">
        <v>966</v>
      </c>
      <c r="D42" s="579"/>
    </row>
    <row r="43" spans="1:7" ht="25.5">
      <c r="A43" s="501" t="s">
        <v>67</v>
      </c>
      <c r="B43" s="482">
        <f>(635.59*6+661.01*6)*G39</f>
        <v>7779.6</v>
      </c>
      <c r="C43" s="476" t="s">
        <v>496</v>
      </c>
      <c r="D43" s="579" t="s">
        <v>85</v>
      </c>
    </row>
    <row r="44" spans="1:7" ht="25.5">
      <c r="A44" s="501" t="s">
        <v>190</v>
      </c>
      <c r="B44" s="762">
        <f>(466.1*6+484.74*6)*G23</f>
        <v>0</v>
      </c>
      <c r="C44" s="476" t="s">
        <v>497</v>
      </c>
      <c r="D44" s="579" t="s">
        <v>85</v>
      </c>
    </row>
    <row r="45" spans="1:7">
      <c r="A45" s="763" t="s">
        <v>47</v>
      </c>
      <c r="B45" s="551">
        <f>SUM(B35:B44)</f>
        <v>110407.62258653104</v>
      </c>
      <c r="C45" s="485"/>
      <c r="D45" s="477"/>
    </row>
    <row r="46" spans="1:7">
      <c r="A46" s="496" t="s">
        <v>48</v>
      </c>
      <c r="B46" s="487"/>
      <c r="C46" s="485"/>
      <c r="D46" s="477"/>
    </row>
    <row r="47" spans="1:7" s="63" customFormat="1" ht="38.25">
      <c r="A47" s="510" t="s">
        <v>49</v>
      </c>
      <c r="B47" s="580">
        <f>(G31*100.2134*6)+(G31*104.2268)+(1.71*(B12+B13)*12)</f>
        <v>96268.955775999988</v>
      </c>
      <c r="C47" s="582" t="s">
        <v>973</v>
      </c>
      <c r="D47" s="512"/>
    </row>
    <row r="48" spans="1:7" s="63" customFormat="1">
      <c r="A48" s="291" t="s">
        <v>50</v>
      </c>
      <c r="B48" s="276">
        <f>15.92*G24</f>
        <v>18292.079999999998</v>
      </c>
      <c r="C48" s="424" t="s">
        <v>982</v>
      </c>
      <c r="D48" s="377" t="s">
        <v>90</v>
      </c>
    </row>
    <row r="49" spans="1:4" ht="89.25">
      <c r="A49" s="583" t="s">
        <v>120</v>
      </c>
      <c r="B49" s="502">
        <f>17.51*(B12+B13)</f>
        <v>76229.785000000003</v>
      </c>
      <c r="C49" s="485" t="s">
        <v>976</v>
      </c>
      <c r="D49" s="579"/>
    </row>
    <row r="50" spans="1:4" ht="51">
      <c r="A50" s="104" t="s">
        <v>51</v>
      </c>
      <c r="B50" s="478">
        <f>(654.11+263.56/3)*G38/1000</f>
        <v>10034.312120000001</v>
      </c>
      <c r="C50" s="511" t="s">
        <v>979</v>
      </c>
      <c r="D50" s="501" t="s">
        <v>91</v>
      </c>
    </row>
    <row r="51" spans="1:4" ht="51">
      <c r="A51" s="514" t="s">
        <v>52</v>
      </c>
      <c r="B51" s="584">
        <f>((G30/12*6*100.2134)+(G30/12*6*104.2268))+((G30/12*6*100.2134)+(G30/12*6*104.2268))/1.302*25%</f>
        <v>50784.867606304142</v>
      </c>
      <c r="C51" s="582" t="s">
        <v>980</v>
      </c>
      <c r="D51" s="579"/>
    </row>
    <row r="52" spans="1:4" ht="15.75">
      <c r="A52" s="117" t="s">
        <v>53</v>
      </c>
      <c r="B52" s="99">
        <f>B47+B49+B50+B51</f>
        <v>233317.92050230413</v>
      </c>
      <c r="C52" s="110"/>
      <c r="D52" s="90"/>
    </row>
    <row r="53" spans="1:4">
      <c r="A53" s="116" t="s">
        <v>54</v>
      </c>
      <c r="B53" s="1"/>
      <c r="C53" s="96"/>
      <c r="D53" s="90"/>
    </row>
    <row r="54" spans="1:4" s="62" customFormat="1" ht="12.75">
      <c r="A54" s="118" t="s">
        <v>55</v>
      </c>
      <c r="B54" s="2">
        <v>0</v>
      </c>
      <c r="C54" s="119"/>
      <c r="D54" s="86"/>
    </row>
    <row r="55" spans="1:4">
      <c r="A55" s="116" t="s">
        <v>56</v>
      </c>
      <c r="B55" s="88">
        <v>0</v>
      </c>
      <c r="C55" s="120"/>
      <c r="D55" s="90"/>
    </row>
    <row r="56" spans="1:4">
      <c r="A56" s="116" t="s">
        <v>57</v>
      </c>
      <c r="B56" s="88"/>
      <c r="C56" s="120"/>
      <c r="D56" s="90"/>
    </row>
    <row r="57" spans="1:4">
      <c r="A57" s="116" t="s">
        <v>58</v>
      </c>
      <c r="B57" s="88"/>
      <c r="C57" s="120"/>
      <c r="D57" s="90"/>
    </row>
    <row r="58" spans="1:4">
      <c r="A58" s="116" t="s">
        <v>59</v>
      </c>
      <c r="B58" s="88"/>
      <c r="C58" s="120"/>
      <c r="D58" s="90"/>
    </row>
    <row r="59" spans="1:4" ht="15.75">
      <c r="A59" s="117" t="s">
        <v>60</v>
      </c>
      <c r="B59" s="132">
        <f>B54+B55</f>
        <v>0</v>
      </c>
      <c r="C59" s="122"/>
      <c r="D59" s="90"/>
    </row>
    <row r="60" spans="1:4">
      <c r="A60" s="123" t="s">
        <v>61</v>
      </c>
      <c r="B60" s="88">
        <f>3.051*(B13+B12)</f>
        <v>13282.5285</v>
      </c>
      <c r="C60" s="120" t="s">
        <v>977</v>
      </c>
      <c r="D60" s="90"/>
    </row>
    <row r="61" spans="1:4">
      <c r="A61" s="124" t="s">
        <v>62</v>
      </c>
      <c r="B61" s="125">
        <f>1.54*(B13+B12)</f>
        <v>6704.39</v>
      </c>
      <c r="C61" s="177" t="s">
        <v>978</v>
      </c>
      <c r="D61" s="90"/>
    </row>
    <row r="62" spans="1:4">
      <c r="A62" s="68" t="s">
        <v>63</v>
      </c>
      <c r="B62" s="88">
        <f>(B45+B52)*0.348</f>
        <v>119616.48899491465</v>
      </c>
      <c r="C62" s="120" t="s">
        <v>514</v>
      </c>
      <c r="D62" s="90"/>
    </row>
    <row r="63" spans="1:4" ht="38.25">
      <c r="A63" s="68" t="s">
        <v>121</v>
      </c>
      <c r="B63" s="125">
        <f>(B45+B52+B62)*0.132</f>
        <v>61161.148235054978</v>
      </c>
      <c r="C63" s="69" t="s">
        <v>225</v>
      </c>
      <c r="D63" s="90" t="s">
        <v>85</v>
      </c>
    </row>
    <row r="64" spans="1:4" ht="15.75">
      <c r="A64" s="127" t="s">
        <v>122</v>
      </c>
      <c r="B64" s="132">
        <f>B60+B61+B62+B63</f>
        <v>200764.55572996964</v>
      </c>
      <c r="C64" s="122"/>
      <c r="D64" s="90"/>
    </row>
    <row r="65" spans="1:4">
      <c r="A65" s="68" t="s">
        <v>64</v>
      </c>
      <c r="B65" s="88">
        <f>(B45+B52+B59+B64)*3%</f>
        <v>16334.702964564145</v>
      </c>
      <c r="C65" s="120"/>
      <c r="D65" s="90"/>
    </row>
    <row r="66" spans="1:4" ht="15.75">
      <c r="A66" s="128" t="s">
        <v>26</v>
      </c>
      <c r="B66" s="595">
        <f>B45+B52+B59+B64+B65</f>
        <v>560824.80178336892</v>
      </c>
      <c r="C66" s="130"/>
      <c r="D66" s="90"/>
    </row>
    <row r="67" spans="1:4" ht="15.75">
      <c r="A67" s="128" t="s">
        <v>65</v>
      </c>
      <c r="B67" s="595">
        <f>B66*1.2</f>
        <v>672989.76214004273</v>
      </c>
      <c r="C67" s="130"/>
      <c r="D67" s="90"/>
    </row>
    <row r="68" spans="1:4" ht="15.75">
      <c r="A68" s="131"/>
      <c r="B68" s="132" t="e">
        <f>B32-B67</f>
        <v>#REF!</v>
      </c>
      <c r="C68" s="133"/>
      <c r="D68" s="90"/>
    </row>
    <row r="69" spans="1:4" ht="30">
      <c r="A69" s="134" t="s">
        <v>123</v>
      </c>
      <c r="B69" s="135">
        <f>B67/(B12+B13)/12</f>
        <v>12.88215922323117</v>
      </c>
      <c r="C69" s="136" t="s">
        <v>393</v>
      </c>
      <c r="D69" s="137"/>
    </row>
    <row r="70" spans="1:4">
      <c r="A70" s="138"/>
      <c r="D70" s="138"/>
    </row>
    <row r="71" spans="1:4" ht="15" customHeight="1">
      <c r="A71" s="799" t="s">
        <v>124</v>
      </c>
      <c r="B71" s="799"/>
      <c r="C71" s="799"/>
      <c r="D71" s="138"/>
    </row>
    <row r="72" spans="1:4" ht="34.5" customHeight="1">
      <c r="A72" s="800" t="s">
        <v>518</v>
      </c>
      <c r="B72" s="800"/>
      <c r="C72" s="800"/>
      <c r="D72" s="196"/>
    </row>
    <row r="73" spans="1:4" ht="36.75" customHeight="1">
      <c r="A73" s="800" t="s">
        <v>519</v>
      </c>
      <c r="B73" s="800"/>
      <c r="C73" s="800"/>
      <c r="D73" s="196"/>
    </row>
    <row r="74" spans="1:4" ht="23.25" customHeight="1">
      <c r="A74" s="160"/>
      <c r="B74" s="453"/>
      <c r="C74" s="193"/>
      <c r="D74" s="138"/>
    </row>
    <row r="75" spans="1:4">
      <c r="A75" s="797" t="s">
        <v>505</v>
      </c>
      <c r="B75" s="797"/>
      <c r="C75" s="797"/>
      <c r="D75" s="138"/>
    </row>
    <row r="76" spans="1:4">
      <c r="D76" s="138"/>
    </row>
    <row r="78" spans="1:4" ht="18.75">
      <c r="A78" s="170"/>
      <c r="B78" s="170"/>
      <c r="C78" s="170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  <row r="92" spans="1:4" s="65" customFormat="1">
      <c r="A92" s="66"/>
      <c r="B92" s="66"/>
      <c r="C92" s="66"/>
      <c r="D92" s="67"/>
    </row>
    <row r="93" spans="1:4" s="65" customFormat="1">
      <c r="A93" s="66"/>
      <c r="B93" s="66"/>
      <c r="C93" s="66"/>
      <c r="D93" s="67"/>
    </row>
    <row r="94" spans="1:4" s="65" customFormat="1">
      <c r="A94" s="66"/>
      <c r="B94" s="66"/>
      <c r="C94" s="66"/>
      <c r="D94" s="67"/>
    </row>
  </sheetData>
  <mergeCells count="6">
    <mergeCell ref="A75:C75"/>
    <mergeCell ref="A72:C72"/>
    <mergeCell ref="A8:D8"/>
    <mergeCell ref="A9:D10"/>
    <mergeCell ref="A71:C71"/>
    <mergeCell ref="A73:C73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4"/>
  <sheetViews>
    <sheetView topLeftCell="A58" workbookViewId="0">
      <selection activeCell="D3" sqref="D3:D7"/>
    </sheetView>
  </sheetViews>
  <sheetFormatPr defaultColWidth="9.140625" defaultRowHeight="15"/>
  <cols>
    <col min="1" max="1" width="4" style="58" customWidth="1"/>
    <col min="2" max="2" width="44.7109375" style="66" customWidth="1"/>
    <col min="3" max="3" width="14.5703125" style="66" customWidth="1"/>
    <col min="4" max="4" width="33.42578125" style="66" customWidth="1"/>
    <col min="5" max="5" width="18.28515625" style="67" customWidth="1"/>
    <col min="6" max="6" width="5.7109375" style="58" customWidth="1"/>
    <col min="7" max="8" width="9.140625" style="58"/>
    <col min="9" max="9" width="15.140625" style="58" customWidth="1"/>
    <col min="10" max="16384" width="9.140625" style="58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13.61</v>
      </c>
      <c r="K5" s="141" t="s">
        <v>157</v>
      </c>
    </row>
    <row r="6" spans="2:11" ht="15.75">
      <c r="D6" s="163"/>
      <c r="E6" s="65"/>
      <c r="I6" s="140" t="s">
        <v>134</v>
      </c>
      <c r="J6" s="140">
        <v>3589.1</v>
      </c>
      <c r="K6" s="141"/>
    </row>
    <row r="7" spans="2:11" ht="15.75">
      <c r="D7" s="163" t="s">
        <v>217</v>
      </c>
      <c r="E7" s="65"/>
      <c r="I7" s="140" t="s">
        <v>135</v>
      </c>
      <c r="J7" s="140">
        <v>80</v>
      </c>
      <c r="K7" s="141"/>
    </row>
    <row r="8" spans="2:11" ht="15.75">
      <c r="D8" s="70"/>
      <c r="I8" s="140" t="s">
        <v>136</v>
      </c>
      <c r="J8" s="212">
        <v>210</v>
      </c>
      <c r="K8" s="141"/>
    </row>
    <row r="9" spans="2:11" ht="15.75">
      <c r="D9" s="70"/>
      <c r="I9" s="142" t="s">
        <v>137</v>
      </c>
      <c r="J9" s="140">
        <v>12412</v>
      </c>
      <c r="K9" s="141"/>
    </row>
    <row r="10" spans="2:11" ht="27.75" customHeight="1">
      <c r="B10" s="798" t="s">
        <v>218</v>
      </c>
      <c r="C10" s="798"/>
      <c r="D10" s="798"/>
      <c r="E10" s="798"/>
      <c r="I10" s="140" t="s">
        <v>138</v>
      </c>
      <c r="J10" s="140">
        <v>877.2</v>
      </c>
      <c r="K10" s="141"/>
    </row>
    <row r="11" spans="2:11" ht="15" customHeight="1">
      <c r="B11" s="798" t="s">
        <v>163</v>
      </c>
      <c r="C11" s="798"/>
      <c r="D11" s="798"/>
      <c r="E11" s="798"/>
      <c r="I11" s="140" t="s">
        <v>139</v>
      </c>
      <c r="J11" s="140">
        <v>1150</v>
      </c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0</v>
      </c>
      <c r="K12" s="141"/>
    </row>
    <row r="13" spans="2:11" ht="15.75">
      <c r="B13" s="73"/>
      <c r="C13" s="73"/>
      <c r="D13" s="73"/>
      <c r="I13" s="140" t="s">
        <v>141</v>
      </c>
      <c r="J13" s="140">
        <v>0</v>
      </c>
      <c r="K13" s="141"/>
    </row>
    <row r="14" spans="2:11" ht="15.75">
      <c r="B14" s="74" t="s">
        <v>2</v>
      </c>
      <c r="C14" s="75">
        <f>J6</f>
        <v>3589.1</v>
      </c>
      <c r="D14" s="76" t="s">
        <v>72</v>
      </c>
      <c r="I14" s="140" t="s">
        <v>142</v>
      </c>
      <c r="J14" s="140">
        <v>1361.2</v>
      </c>
      <c r="K14" s="141"/>
    </row>
    <row r="15" spans="2:11" s="59" customFormat="1" ht="15.75">
      <c r="B15" s="77" t="s">
        <v>3</v>
      </c>
      <c r="C15" s="78">
        <v>0</v>
      </c>
      <c r="D15" s="79"/>
      <c r="E15" s="80"/>
      <c r="I15" s="140" t="s">
        <v>143</v>
      </c>
      <c r="J15" s="59">
        <v>4092.76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190" t="s">
        <v>4</v>
      </c>
      <c r="C17" s="180" t="s">
        <v>5</v>
      </c>
      <c r="D17" s="180" t="s">
        <v>6</v>
      </c>
      <c r="E17" s="84" t="s">
        <v>84</v>
      </c>
      <c r="I17" s="140" t="s">
        <v>145</v>
      </c>
      <c r="J17" s="213">
        <v>509.06893252064799</v>
      </c>
      <c r="K17" s="141"/>
    </row>
    <row r="18" spans="2:11">
      <c r="B18" s="191" t="s">
        <v>7</v>
      </c>
      <c r="C18" s="149">
        <f>C14*13.61*12</f>
        <v>586171.81199999992</v>
      </c>
      <c r="D18" s="150" t="s">
        <v>210</v>
      </c>
      <c r="E18" s="86" t="s">
        <v>85</v>
      </c>
      <c r="I18" s="140" t="s">
        <v>146</v>
      </c>
      <c r="J18" s="140">
        <v>10.74</v>
      </c>
      <c r="K18" s="141"/>
    </row>
    <row r="19" spans="2:11" ht="38.25">
      <c r="B19" s="115" t="s">
        <v>8</v>
      </c>
      <c r="C19" s="214">
        <f>210*(211.42*6*1.45/12+226.93*6*1.45/12)*1.18</f>
        <v>78751.769249999983</v>
      </c>
      <c r="D19" s="215" t="s">
        <v>394</v>
      </c>
      <c r="E19" s="90"/>
      <c r="I19" s="140" t="s">
        <v>147</v>
      </c>
      <c r="J19" s="143">
        <v>0.79</v>
      </c>
      <c r="K19" s="144">
        <f>(J15/3+J14)/2920</f>
        <v>0.93337442922374436</v>
      </c>
    </row>
    <row r="20" spans="2:11">
      <c r="B20" s="192" t="s">
        <v>9</v>
      </c>
      <c r="C20" s="172">
        <f>C21+C24</f>
        <v>0</v>
      </c>
      <c r="D20" s="93"/>
      <c r="E20" s="173"/>
      <c r="I20" s="145" t="s">
        <v>148</v>
      </c>
      <c r="J20" s="145"/>
      <c r="K20" s="141"/>
    </row>
    <row r="21" spans="2:11">
      <c r="B21" s="68"/>
      <c r="C21" s="92"/>
      <c r="D21" s="93"/>
      <c r="E21" s="90"/>
      <c r="I21" s="146" t="s">
        <v>149</v>
      </c>
      <c r="J21" s="147"/>
      <c r="K21" s="141"/>
    </row>
    <row r="22" spans="2:11">
      <c r="B22" s="94"/>
      <c r="C22" s="167"/>
      <c r="D22" s="168"/>
      <c r="E22" s="90" t="s">
        <v>85</v>
      </c>
      <c r="I22" s="58" t="s">
        <v>150</v>
      </c>
      <c r="J22" s="58">
        <v>1.45</v>
      </c>
      <c r="K22" s="141"/>
    </row>
    <row r="23" spans="2:11">
      <c r="B23" s="94"/>
      <c r="C23" s="153"/>
      <c r="D23" s="156"/>
      <c r="E23" s="90"/>
      <c r="I23" s="58" t="s">
        <v>151</v>
      </c>
      <c r="K23" s="141"/>
    </row>
    <row r="24" spans="2:11">
      <c r="B24" s="68"/>
      <c r="C24" s="92"/>
      <c r="D24" s="93"/>
      <c r="E24" s="90"/>
      <c r="I24" s="141" t="s">
        <v>152</v>
      </c>
      <c r="J24" s="141"/>
      <c r="K24" s="141"/>
    </row>
    <row r="25" spans="2:11">
      <c r="B25" s="94"/>
      <c r="C25" s="167"/>
      <c r="D25" s="168"/>
      <c r="E25" s="90" t="s">
        <v>85</v>
      </c>
      <c r="I25" s="58" t="s">
        <v>153</v>
      </c>
      <c r="J25" s="58">
        <v>877.2</v>
      </c>
    </row>
    <row r="26" spans="2:11">
      <c r="B26" s="94"/>
      <c r="C26" s="153"/>
      <c r="D26" s="156"/>
      <c r="E26" s="90" t="s">
        <v>85</v>
      </c>
    </row>
    <row r="27" spans="2:11" ht="15.75">
      <c r="B27" s="95" t="s">
        <v>12</v>
      </c>
      <c r="C27" s="1">
        <f>C18+C20</f>
        <v>586171.81199999992</v>
      </c>
      <c r="D27" s="96"/>
      <c r="E27" s="90"/>
    </row>
    <row r="28" spans="2:11">
      <c r="B28" s="97" t="s">
        <v>13</v>
      </c>
      <c r="C28" s="1">
        <f>C29+C30+C31+C32+C33+C34+C35</f>
        <v>5039.76</v>
      </c>
      <c r="D28" s="96"/>
      <c r="E28" s="90"/>
    </row>
    <row r="29" spans="2:11">
      <c r="B29" s="68" t="s">
        <v>14</v>
      </c>
      <c r="C29" s="1">
        <f>34.98*12</f>
        <v>419.76</v>
      </c>
      <c r="D29" s="96" t="s">
        <v>15</v>
      </c>
      <c r="E29" s="90" t="s">
        <v>85</v>
      </c>
    </row>
    <row r="30" spans="2:11">
      <c r="B30" s="68" t="s">
        <v>16</v>
      </c>
      <c r="C30" s="1">
        <f>137.5*12*0</f>
        <v>0</v>
      </c>
      <c r="D30" s="96" t="s">
        <v>17</v>
      </c>
      <c r="E30" s="90"/>
    </row>
    <row r="31" spans="2:11">
      <c r="B31" s="68" t="s">
        <v>18</v>
      </c>
      <c r="C31" s="1">
        <f>123.75*12</f>
        <v>1485</v>
      </c>
      <c r="D31" s="96" t="s">
        <v>19</v>
      </c>
      <c r="E31" s="90" t="s">
        <v>85</v>
      </c>
    </row>
    <row r="32" spans="2:11">
      <c r="B32" s="68" t="s">
        <v>20</v>
      </c>
      <c r="C32" s="1">
        <f>123.75*12</f>
        <v>1485</v>
      </c>
      <c r="D32" s="96" t="s">
        <v>19</v>
      </c>
      <c r="E32" s="90" t="s">
        <v>85</v>
      </c>
    </row>
    <row r="33" spans="2:8">
      <c r="B33" s="68" t="s">
        <v>66</v>
      </c>
      <c r="C33" s="1">
        <f>150*12*0</f>
        <v>0</v>
      </c>
      <c r="D33" s="96" t="s">
        <v>21</v>
      </c>
      <c r="E33" s="90"/>
    </row>
    <row r="34" spans="2:8">
      <c r="B34" s="68" t="s">
        <v>22</v>
      </c>
      <c r="C34" s="1">
        <f>137.5*12</f>
        <v>1650</v>
      </c>
      <c r="D34" s="96" t="s">
        <v>17</v>
      </c>
      <c r="E34" s="90" t="s">
        <v>85</v>
      </c>
    </row>
    <row r="35" spans="2:8">
      <c r="B35" s="68" t="s">
        <v>23</v>
      </c>
      <c r="C35" s="1">
        <f>150*12*0</f>
        <v>0</v>
      </c>
      <c r="D35" s="96" t="s">
        <v>21</v>
      </c>
      <c r="E35" s="90"/>
    </row>
    <row r="36" spans="2:8">
      <c r="B36" s="97" t="s">
        <v>24</v>
      </c>
      <c r="C36" s="1">
        <f>C37</f>
        <v>0</v>
      </c>
      <c r="D36" s="96"/>
      <c r="E36" s="90"/>
    </row>
    <row r="37" spans="2:8">
      <c r="B37" s="68"/>
      <c r="C37" s="1"/>
      <c r="D37" s="96"/>
      <c r="E37" s="90"/>
    </row>
    <row r="38" spans="2:8" ht="18.75">
      <c r="B38" s="98" t="s">
        <v>26</v>
      </c>
      <c r="C38" s="99">
        <f>C27+C28+C36</f>
        <v>591211.57199999993</v>
      </c>
      <c r="D38" s="96"/>
      <c r="E38" s="90"/>
    </row>
    <row r="39" spans="2:8" ht="15.75">
      <c r="B39" s="82" t="s">
        <v>27</v>
      </c>
      <c r="C39" s="100" t="s">
        <v>5</v>
      </c>
      <c r="D39" s="101" t="s">
        <v>28</v>
      </c>
      <c r="E39" s="90"/>
    </row>
    <row r="40" spans="2:8" ht="15.75">
      <c r="B40" s="102" t="s">
        <v>29</v>
      </c>
      <c r="C40" s="88"/>
      <c r="D40" s="103"/>
      <c r="E40" s="90"/>
      <c r="H40" s="60"/>
    </row>
    <row r="41" spans="2:8" ht="51">
      <c r="B41" s="104" t="s">
        <v>30</v>
      </c>
      <c r="C41" s="218">
        <f>(0.93*(3565+200)*1.5*1.15*1.083*1.302*3)+(0.93*(3708+200)*1.5*1.15*1.083*1.302*9)+(0.1*1361.2*12)</f>
        <v>106746.3654466935</v>
      </c>
      <c r="D41" s="219" t="s">
        <v>395</v>
      </c>
      <c r="E41" s="90" t="s">
        <v>86</v>
      </c>
      <c r="H41" s="61"/>
    </row>
    <row r="42" spans="2:8" ht="15.75">
      <c r="B42" s="104" t="s">
        <v>31</v>
      </c>
      <c r="C42" s="187"/>
      <c r="D42" s="188"/>
      <c r="E42" s="90"/>
      <c r="H42" s="61"/>
    </row>
    <row r="43" spans="2:8" ht="15.75">
      <c r="B43" s="104" t="s">
        <v>32</v>
      </c>
      <c r="C43" s="187"/>
      <c r="D43" s="188"/>
      <c r="E43" s="90"/>
      <c r="H43" s="61"/>
    </row>
    <row r="44" spans="2:8" s="62" customFormat="1" ht="51">
      <c r="B44" s="104" t="s">
        <v>33</v>
      </c>
      <c r="C44" s="220">
        <f>210*(360.84*0.025*3+362.52*0.025*3+382.25*0.025*6)</f>
        <v>23433.795000000002</v>
      </c>
      <c r="D44" s="221" t="s">
        <v>396</v>
      </c>
      <c r="E44" s="86" t="s">
        <v>87</v>
      </c>
      <c r="H44" s="61"/>
    </row>
    <row r="45" spans="2:8" ht="15.75">
      <c r="B45" s="104" t="s">
        <v>34</v>
      </c>
      <c r="C45" s="222">
        <f>(16.86+17.53)*80</f>
        <v>2751.2</v>
      </c>
      <c r="D45" s="223" t="s">
        <v>231</v>
      </c>
      <c r="E45" s="90" t="s">
        <v>88</v>
      </c>
      <c r="H45" s="61"/>
    </row>
    <row r="46" spans="2:8" ht="36.75" customHeight="1">
      <c r="B46" s="104" t="s">
        <v>35</v>
      </c>
      <c r="C46" s="222">
        <f>(49.72+51.71)*2*0</f>
        <v>0</v>
      </c>
      <c r="D46" s="223" t="s">
        <v>220</v>
      </c>
      <c r="E46" s="90"/>
      <c r="H46" s="61"/>
    </row>
    <row r="47" spans="2:8" ht="15.75">
      <c r="B47" s="104" t="s">
        <v>36</v>
      </c>
      <c r="C47" s="164">
        <f>0.25*877.2*12</f>
        <v>2631.6000000000004</v>
      </c>
      <c r="D47" s="150" t="s">
        <v>164</v>
      </c>
      <c r="E47" s="90" t="s">
        <v>85</v>
      </c>
      <c r="H47" s="61"/>
    </row>
    <row r="48" spans="2:8" ht="15.75">
      <c r="B48" s="106" t="s">
        <v>37</v>
      </c>
      <c r="C48" s="164">
        <f>2.34*877.2*4</f>
        <v>8210.5920000000006</v>
      </c>
      <c r="D48" s="150" t="s">
        <v>165</v>
      </c>
      <c r="E48" s="90" t="s">
        <v>89</v>
      </c>
      <c r="H48" s="61"/>
    </row>
    <row r="49" spans="2:8" ht="25.5">
      <c r="B49" s="115" t="s">
        <v>67</v>
      </c>
      <c r="C49" s="224">
        <f>(700.55*6+728.57*6)</f>
        <v>8574.7199999999993</v>
      </c>
      <c r="D49" s="225" t="s">
        <v>221</v>
      </c>
      <c r="E49" s="90" t="s">
        <v>85</v>
      </c>
      <c r="H49" s="61"/>
    </row>
    <row r="50" spans="2:8" ht="25.5">
      <c r="B50" s="115" t="s">
        <v>190</v>
      </c>
      <c r="C50" s="226">
        <f>(695.13*6+722.94*6)*0</f>
        <v>0</v>
      </c>
      <c r="D50" s="225" t="s">
        <v>222</v>
      </c>
      <c r="E50" s="90" t="s">
        <v>85</v>
      </c>
      <c r="H50" s="61"/>
    </row>
    <row r="51" spans="2:8" ht="15.75">
      <c r="B51" s="115" t="s">
        <v>158</v>
      </c>
      <c r="C51" s="4">
        <f>878.1*12</f>
        <v>10537.2</v>
      </c>
      <c r="D51" s="211" t="s">
        <v>211</v>
      </c>
      <c r="E51" s="90" t="s">
        <v>85</v>
      </c>
      <c r="H51" s="61"/>
    </row>
    <row r="52" spans="2:8" ht="50.25" customHeight="1">
      <c r="B52" s="87" t="s">
        <v>45</v>
      </c>
      <c r="C52" s="227">
        <f>210*(211.42*6*1.45/12+226.93*6*1.45/12)</f>
        <v>66738.787499999991</v>
      </c>
      <c r="D52" s="225" t="s">
        <v>397</v>
      </c>
      <c r="E52" s="90" t="s">
        <v>87</v>
      </c>
      <c r="H52" s="61"/>
    </row>
    <row r="53" spans="2:8" ht="25.5">
      <c r="B53" s="87" t="s">
        <v>46</v>
      </c>
      <c r="C53" s="224">
        <f>0*(232.8*6+243.11*6)</f>
        <v>0</v>
      </c>
      <c r="D53" s="228" t="s">
        <v>223</v>
      </c>
      <c r="E53" s="90" t="s">
        <v>87</v>
      </c>
      <c r="H53" s="61"/>
    </row>
    <row r="54" spans="2:8" ht="15.75">
      <c r="B54" s="108" t="s">
        <v>47</v>
      </c>
      <c r="C54" s="109">
        <f>C41+C42+C43+C44+C45+C46+C47+C48+C49+C50+C51+C52+C53</f>
        <v>229624.25994669349</v>
      </c>
      <c r="D54" s="110"/>
      <c r="E54" s="90"/>
    </row>
    <row r="55" spans="2:8">
      <c r="B55" s="104" t="s">
        <v>48</v>
      </c>
      <c r="C55" s="1"/>
      <c r="D55" s="96"/>
      <c r="E55" s="90"/>
    </row>
    <row r="56" spans="2:8" s="63" customFormat="1" ht="51">
      <c r="B56" s="112" t="s">
        <v>49</v>
      </c>
      <c r="C56" s="222">
        <f>(10.74*96.4189*3)+(10.74*100.2864*9)+(1.78*(C14+C15)*12)</f>
        <v>89463.476382000008</v>
      </c>
      <c r="D56" s="229" t="s">
        <v>398</v>
      </c>
      <c r="E56" s="113"/>
    </row>
    <row r="57" spans="2:8">
      <c r="B57" s="106" t="s">
        <v>50</v>
      </c>
      <c r="C57" s="1">
        <f>13.69*1150</f>
        <v>15743.5</v>
      </c>
      <c r="D57" s="96" t="s">
        <v>399</v>
      </c>
      <c r="E57" s="90" t="s">
        <v>90</v>
      </c>
    </row>
    <row r="58" spans="2:8" ht="89.25">
      <c r="B58" s="114" t="s">
        <v>120</v>
      </c>
      <c r="C58" s="4">
        <f>17.51*(C14+C15)</f>
        <v>62845.141000000003</v>
      </c>
      <c r="D58" s="96" t="s">
        <v>400</v>
      </c>
      <c r="E58" s="90"/>
    </row>
    <row r="59" spans="2:8" ht="51">
      <c r="B59" s="104" t="s">
        <v>51</v>
      </c>
      <c r="C59" s="222">
        <f>(632.04+251.07/3)*12412/1000</f>
        <v>8883.6407600000002</v>
      </c>
      <c r="D59" s="229" t="s">
        <v>401</v>
      </c>
      <c r="E59" s="115" t="s">
        <v>91</v>
      </c>
    </row>
    <row r="60" spans="2:8" ht="51">
      <c r="B60" s="116" t="s">
        <v>52</v>
      </c>
      <c r="C60" s="230">
        <f>((509.07/12*3*96.4189)+(509.07/12*9*100.2864))+((509.07/12*3*96.4189)+(509.07/12*9*100.2864))/1.302*25%</f>
        <v>60268.8453136682</v>
      </c>
      <c r="D60" s="229" t="s">
        <v>402</v>
      </c>
      <c r="E60" s="90"/>
    </row>
    <row r="61" spans="2:8" ht="15.75">
      <c r="B61" s="117" t="s">
        <v>53</v>
      </c>
      <c r="C61" s="109">
        <f>C56+C57+C58+C59+C60</f>
        <v>237204.60345566823</v>
      </c>
      <c r="D61" s="110"/>
      <c r="E61" s="90"/>
    </row>
    <row r="62" spans="2:8">
      <c r="B62" s="116" t="s">
        <v>54</v>
      </c>
      <c r="C62" s="1"/>
      <c r="D62" s="96"/>
      <c r="E62" s="90"/>
    </row>
    <row r="63" spans="2:8" s="62" customFormat="1" ht="12.75">
      <c r="B63" s="118" t="s">
        <v>55</v>
      </c>
      <c r="C63" s="2">
        <v>0</v>
      </c>
      <c r="D63" s="119"/>
      <c r="E63" s="86"/>
    </row>
    <row r="64" spans="2:8">
      <c r="B64" s="116" t="s">
        <v>56</v>
      </c>
      <c r="C64" s="88">
        <v>0</v>
      </c>
      <c r="D64" s="120"/>
      <c r="E64" s="90"/>
    </row>
    <row r="65" spans="2:8">
      <c r="B65" s="116" t="s">
        <v>57</v>
      </c>
      <c r="C65" s="88"/>
      <c r="D65" s="120"/>
      <c r="E65" s="90"/>
    </row>
    <row r="66" spans="2:8">
      <c r="B66" s="116" t="s">
        <v>58</v>
      </c>
      <c r="C66" s="88"/>
      <c r="D66" s="120"/>
      <c r="E66" s="90"/>
    </row>
    <row r="67" spans="2:8">
      <c r="B67" s="116" t="s">
        <v>59</v>
      </c>
      <c r="C67" s="88"/>
      <c r="D67" s="120"/>
      <c r="E67" s="90"/>
    </row>
    <row r="68" spans="2:8" ht="15.75">
      <c r="B68" s="117" t="s">
        <v>60</v>
      </c>
      <c r="C68" s="121">
        <f>C63+C64</f>
        <v>0</v>
      </c>
      <c r="D68" s="122"/>
      <c r="E68" s="90"/>
    </row>
    <row r="69" spans="2:8">
      <c r="B69" s="123" t="s">
        <v>61</v>
      </c>
      <c r="C69" s="88">
        <f>3.05*(C14+C15)</f>
        <v>10946.754999999999</v>
      </c>
      <c r="D69" s="120" t="s">
        <v>403</v>
      </c>
      <c r="E69" s="90"/>
    </row>
    <row r="70" spans="2:8" ht="15.75">
      <c r="B70" s="124" t="s">
        <v>62</v>
      </c>
      <c r="C70" s="125">
        <f>1.49*(C14+C15)</f>
        <v>5347.759</v>
      </c>
      <c r="D70" s="126" t="s">
        <v>404</v>
      </c>
      <c r="E70" s="90"/>
      <c r="H70" s="64"/>
    </row>
    <row r="71" spans="2:8">
      <c r="B71" s="68" t="s">
        <v>63</v>
      </c>
      <c r="C71" s="88">
        <f>(C54+C61)*0.341</f>
        <v>159188.64242020537</v>
      </c>
      <c r="D71" s="120" t="s">
        <v>224</v>
      </c>
      <c r="E71" s="90"/>
    </row>
    <row r="72" spans="2:8" ht="38.25">
      <c r="B72" s="68" t="s">
        <v>121</v>
      </c>
      <c r="C72" s="125">
        <f>(C54+C61+C71)*0.132</f>
        <v>82634.310768578871</v>
      </c>
      <c r="D72" s="69" t="s">
        <v>225</v>
      </c>
      <c r="E72" s="90" t="s">
        <v>85</v>
      </c>
    </row>
    <row r="73" spans="2:8" ht="15.75">
      <c r="B73" s="127" t="s">
        <v>122</v>
      </c>
      <c r="C73" s="121">
        <f>C69+C70+C71+C72</f>
        <v>258117.46718878424</v>
      </c>
      <c r="D73" s="122"/>
      <c r="E73" s="90"/>
    </row>
    <row r="74" spans="2:8">
      <c r="B74" s="68" t="s">
        <v>64</v>
      </c>
      <c r="C74" s="88">
        <f>(C54+C61+C68+C73)*3%</f>
        <v>21748.389917734381</v>
      </c>
      <c r="D74" s="120"/>
      <c r="E74" s="90"/>
    </row>
    <row r="75" spans="2:8" ht="15.75">
      <c r="B75" s="128" t="s">
        <v>26</v>
      </c>
      <c r="C75" s="129">
        <f>C54+C61+C68+C73+C74</f>
        <v>746694.72050888045</v>
      </c>
      <c r="D75" s="130"/>
      <c r="E75" s="90"/>
    </row>
    <row r="76" spans="2:8" ht="15.75">
      <c r="B76" s="128" t="s">
        <v>65</v>
      </c>
      <c r="C76" s="129">
        <f>C75*1.18</f>
        <v>881099.77020047884</v>
      </c>
      <c r="D76" s="130"/>
      <c r="E76" s="90"/>
    </row>
    <row r="77" spans="2:8" ht="15.75">
      <c r="B77" s="131"/>
      <c r="C77" s="132">
        <f>C38-C76</f>
        <v>-289888.19820047892</v>
      </c>
      <c r="D77" s="133"/>
      <c r="E77" s="90"/>
    </row>
    <row r="78" spans="2:8" ht="30">
      <c r="B78" s="134" t="s">
        <v>123</v>
      </c>
      <c r="C78" s="135">
        <f>C76/(C14+C15)/12</f>
        <v>20.457769594059766</v>
      </c>
      <c r="D78" s="136" t="s">
        <v>166</v>
      </c>
      <c r="E78" s="137"/>
    </row>
    <row r="79" spans="2:8">
      <c r="B79" s="138"/>
      <c r="E79" s="138"/>
    </row>
    <row r="80" spans="2:8" ht="15" customHeight="1">
      <c r="B80" s="802" t="s">
        <v>124</v>
      </c>
      <c r="C80" s="802"/>
      <c r="D80" s="802"/>
      <c r="E80" s="138"/>
    </row>
    <row r="81" spans="2:5" ht="33" customHeight="1">
      <c r="B81" s="803" t="s">
        <v>226</v>
      </c>
      <c r="C81" s="803"/>
      <c r="D81" s="803"/>
      <c r="E81" s="803"/>
    </row>
    <row r="82" spans="2:5" ht="24" customHeight="1">
      <c r="B82" s="803" t="s">
        <v>227</v>
      </c>
      <c r="C82" s="803"/>
      <c r="D82" s="803"/>
      <c r="E82" s="803"/>
    </row>
    <row r="83" spans="2:5" ht="23.25" customHeight="1">
      <c r="B83" s="157"/>
      <c r="C83" s="158"/>
      <c r="D83" s="159"/>
      <c r="E83" s="138"/>
    </row>
    <row r="84" spans="2:5">
      <c r="B84" s="157"/>
      <c r="C84" s="158"/>
      <c r="D84" s="159"/>
      <c r="E84" s="138"/>
    </row>
    <row r="85" spans="2:5">
      <c r="B85" s="160"/>
      <c r="C85" s="161"/>
      <c r="D85" s="162"/>
      <c r="E85" s="138"/>
    </row>
    <row r="86" spans="2:5">
      <c r="B86" s="797" t="s">
        <v>188</v>
      </c>
      <c r="C86" s="797"/>
      <c r="D86" s="797"/>
    </row>
    <row r="97" spans="2:5" s="65" customFormat="1">
      <c r="B97" s="66"/>
      <c r="C97" s="66"/>
      <c r="D97" s="66"/>
      <c r="E97" s="67"/>
    </row>
    <row r="98" spans="2:5" s="65" customFormat="1">
      <c r="B98" s="66"/>
      <c r="C98" s="66"/>
      <c r="D98" s="66"/>
      <c r="E98" s="67"/>
    </row>
    <row r="99" spans="2:5" s="65" customFormat="1">
      <c r="B99" s="66"/>
      <c r="C99" s="66"/>
      <c r="D99" s="66"/>
      <c r="E99" s="67"/>
    </row>
    <row r="100" spans="2:5" s="65" customFormat="1">
      <c r="B100" s="66"/>
      <c r="C100" s="66"/>
      <c r="D100" s="66"/>
      <c r="E100" s="67"/>
    </row>
    <row r="101" spans="2:5" s="65" customFormat="1">
      <c r="B101" s="66"/>
      <c r="C101" s="66"/>
      <c r="D101" s="66"/>
      <c r="E101" s="67"/>
    </row>
    <row r="102" spans="2:5" s="65" customFormat="1">
      <c r="B102" s="66"/>
      <c r="C102" s="66"/>
      <c r="D102" s="66"/>
      <c r="E102" s="67"/>
    </row>
    <row r="103" spans="2:5" s="65" customFormat="1">
      <c r="B103" s="66"/>
      <c r="C103" s="66"/>
      <c r="D103" s="66"/>
      <c r="E103" s="67"/>
    </row>
    <row r="104" spans="2:5" s="65" customFormat="1">
      <c r="B104" s="66"/>
      <c r="C104" s="66"/>
      <c r="D104" s="66"/>
      <c r="E104" s="67"/>
    </row>
  </sheetData>
  <mergeCells count="6">
    <mergeCell ref="B86:D86"/>
    <mergeCell ref="B80:D80"/>
    <mergeCell ref="B10:E10"/>
    <mergeCell ref="B11:E12"/>
    <mergeCell ref="B81:E81"/>
    <mergeCell ref="B82:E8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F0"/>
  </sheetPr>
  <dimension ref="A1:G88"/>
  <sheetViews>
    <sheetView workbookViewId="0">
      <selection activeCell="E1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140625" style="67" customWidth="1"/>
    <col min="5" max="5" width="4.425781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 customHeight="1">
      <c r="C6" s="70"/>
    </row>
    <row r="7" spans="1:7" ht="15.75" customHeight="1">
      <c r="C7" s="70"/>
    </row>
    <row r="8" spans="1:7" ht="31.5" customHeight="1">
      <c r="A8" s="798" t="s">
        <v>478</v>
      </c>
      <c r="B8" s="798"/>
      <c r="C8" s="798"/>
      <c r="D8" s="798"/>
    </row>
    <row r="9" spans="1:7" ht="15" customHeight="1">
      <c r="A9" s="798" t="s">
        <v>112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 customHeight="1">
      <c r="A11" s="73"/>
      <c r="B11" s="73"/>
      <c r="C11" s="73"/>
    </row>
    <row r="12" spans="1:7" ht="15.75">
      <c r="A12" s="74" t="s">
        <v>2</v>
      </c>
      <c r="B12" s="75">
        <v>2595.1999999999998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 customHeight="1">
      <c r="A14" s="77"/>
      <c r="B14" s="78"/>
      <c r="C14" s="79"/>
      <c r="D14" s="80"/>
    </row>
    <row r="15" spans="1:7" ht="31.5">
      <c r="A15" s="190" t="s">
        <v>4</v>
      </c>
      <c r="B15" s="180" t="s">
        <v>5</v>
      </c>
      <c r="C15" s="180" t="s">
        <v>661</v>
      </c>
      <c r="D15" s="84" t="s">
        <v>84</v>
      </c>
      <c r="F15" s="253" t="s">
        <v>132</v>
      </c>
      <c r="G15" s="254">
        <v>11.91</v>
      </c>
    </row>
    <row r="16" spans="1:7">
      <c r="A16" s="191" t="s">
        <v>7</v>
      </c>
      <c r="B16" s="149">
        <f>B12*G15*12</f>
        <v>370905.984</v>
      </c>
      <c r="C16" s="150" t="s">
        <v>994</v>
      </c>
      <c r="D16" s="86" t="s">
        <v>85</v>
      </c>
      <c r="F16" s="259" t="s">
        <v>134</v>
      </c>
      <c r="G16" s="260">
        <v>2595.1999999999998</v>
      </c>
    </row>
    <row r="17" spans="1:7">
      <c r="A17" s="192" t="s">
        <v>9</v>
      </c>
      <c r="B17" s="172">
        <v>0</v>
      </c>
      <c r="C17" s="93"/>
      <c r="D17" s="173"/>
      <c r="F17" s="259" t="s">
        <v>135</v>
      </c>
      <c r="G17" s="260">
        <v>60</v>
      </c>
    </row>
    <row r="18" spans="1:7" ht="15.75">
      <c r="A18" s="95" t="s">
        <v>12</v>
      </c>
      <c r="B18" s="586">
        <f>B16+B17</f>
        <v>370905.984</v>
      </c>
      <c r="C18" s="96"/>
      <c r="D18" s="90"/>
      <c r="F18" s="259" t="s">
        <v>136</v>
      </c>
      <c r="G18" s="260">
        <v>137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835.1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0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0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1348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3201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509.33</v>
      </c>
    </row>
    <row r="27" spans="1:7">
      <c r="A27" s="97" t="s">
        <v>24</v>
      </c>
      <c r="B27" s="1">
        <v>0</v>
      </c>
      <c r="C27" s="96"/>
      <c r="D27" s="90"/>
      <c r="F27" s="259" t="s">
        <v>460</v>
      </c>
      <c r="G27" s="278">
        <v>10.74</v>
      </c>
    </row>
    <row r="28" spans="1:7" ht="18.75">
      <c r="A28" s="98" t="s">
        <v>26</v>
      </c>
      <c r="B28" s="99">
        <f>B18+B19+B27</f>
        <v>376095.74400000001</v>
      </c>
      <c r="C28" s="96"/>
      <c r="D28" s="90"/>
      <c r="F28" s="259" t="s">
        <v>461</v>
      </c>
      <c r="G28" s="278">
        <f>(G23/3+G24)/2920</f>
        <v>1.2501141552511417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148</v>
      </c>
      <c r="G29" s="278">
        <v>0</v>
      </c>
    </row>
    <row r="30" spans="1:7">
      <c r="A30" s="102" t="s">
        <v>29</v>
      </c>
      <c r="B30" s="88"/>
      <c r="C30" s="103"/>
      <c r="D30" s="90"/>
      <c r="F30" s="259" t="s">
        <v>149</v>
      </c>
      <c r="G30" s="279">
        <v>0</v>
      </c>
    </row>
    <row r="31" spans="1:7" ht="51">
      <c r="A31" s="496" t="s">
        <v>30</v>
      </c>
      <c r="B31" s="599">
        <f>(G28*(3708+200)*1.5*1.15*1.083*1.302*6)+G28*((3708+200)*1.5*1.15*1.083*1.302*6)+(0.104*G23*12)</f>
        <v>144280.49436361069</v>
      </c>
      <c r="C31" s="497" t="s">
        <v>983</v>
      </c>
      <c r="D31" s="600" t="s">
        <v>86</v>
      </c>
      <c r="F31" s="247" t="s">
        <v>151</v>
      </c>
      <c r="G31" s="279">
        <v>5</v>
      </c>
    </row>
    <row r="32" spans="1:7" ht="25.5">
      <c r="A32" s="104" t="s">
        <v>31</v>
      </c>
      <c r="B32" s="601">
        <f>(G30*9921.13*6)+(G30*10317.11*6)</f>
        <v>0</v>
      </c>
      <c r="C32" s="176" t="s">
        <v>509</v>
      </c>
      <c r="D32" s="234"/>
      <c r="F32" s="247" t="s">
        <v>462</v>
      </c>
      <c r="G32" s="279">
        <v>642.4</v>
      </c>
    </row>
    <row r="33" spans="1:7" ht="38.25">
      <c r="A33" s="104" t="s">
        <v>32</v>
      </c>
      <c r="B33" s="760">
        <f>(G29*9921.13*6)+(G29*10317.11*6)+(G16*10.41812*12)*G21</f>
        <v>0</v>
      </c>
      <c r="C33" s="198" t="s">
        <v>770</v>
      </c>
      <c r="D33" s="234"/>
      <c r="F33" s="285" t="s">
        <v>463</v>
      </c>
      <c r="G33" s="286">
        <v>642.4</v>
      </c>
    </row>
    <row r="34" spans="1:7">
      <c r="A34" s="104" t="s">
        <v>34</v>
      </c>
      <c r="B34" s="602">
        <f>(16.06+16.7)*G17</f>
        <v>1965.6</v>
      </c>
      <c r="C34" s="603" t="s">
        <v>771</v>
      </c>
      <c r="D34" s="234" t="s">
        <v>88</v>
      </c>
      <c r="F34" s="289" t="s">
        <v>464</v>
      </c>
      <c r="G34" s="290">
        <v>9154</v>
      </c>
    </row>
    <row r="35" spans="1:7" ht="36.75" customHeight="1">
      <c r="A35" s="104" t="s">
        <v>35</v>
      </c>
      <c r="B35" s="602">
        <f>(49.72+51.71)*2*0</f>
        <v>0</v>
      </c>
      <c r="C35" s="603" t="s">
        <v>469</v>
      </c>
      <c r="D35" s="234"/>
      <c r="F35" s="247" t="s">
        <v>465</v>
      </c>
      <c r="G35" s="279">
        <v>1</v>
      </c>
    </row>
    <row r="36" spans="1:7">
      <c r="A36" s="104" t="s">
        <v>36</v>
      </c>
      <c r="B36" s="604">
        <f>0.25*G32*12</f>
        <v>1927.1999999999998</v>
      </c>
      <c r="C36" s="605" t="s">
        <v>984</v>
      </c>
      <c r="D36" s="234" t="s">
        <v>85</v>
      </c>
      <c r="F36" s="247" t="s">
        <v>467</v>
      </c>
      <c r="G36" s="279">
        <v>2</v>
      </c>
    </row>
    <row r="37" spans="1:7">
      <c r="A37" s="106" t="s">
        <v>37</v>
      </c>
      <c r="B37" s="761">
        <f>2.34*G32*4</f>
        <v>6012.8639999999996</v>
      </c>
      <c r="C37" s="606" t="s">
        <v>985</v>
      </c>
      <c r="D37" s="234" t="s">
        <v>89</v>
      </c>
    </row>
    <row r="38" spans="1:7">
      <c r="A38" s="501" t="s">
        <v>158</v>
      </c>
      <c r="B38" s="502">
        <f>244.88*12</f>
        <v>2938.56</v>
      </c>
      <c r="C38" s="488" t="s">
        <v>986</v>
      </c>
      <c r="D38" s="579"/>
    </row>
    <row r="39" spans="1:7" ht="25.5">
      <c r="A39" s="501" t="s">
        <v>67</v>
      </c>
      <c r="B39" s="482">
        <f>(635.59*6+661.01*6)*G35</f>
        <v>7779.6</v>
      </c>
      <c r="C39" s="476" t="s">
        <v>496</v>
      </c>
      <c r="D39" s="579" t="s">
        <v>85</v>
      </c>
    </row>
    <row r="40" spans="1:7" ht="25.5">
      <c r="A40" s="501" t="s">
        <v>190</v>
      </c>
      <c r="B40" s="762">
        <f>(466.1*6+484.74*6)*G19</f>
        <v>0</v>
      </c>
      <c r="C40" s="476" t="s">
        <v>497</v>
      </c>
      <c r="D40" s="579" t="s">
        <v>85</v>
      </c>
    </row>
    <row r="41" spans="1:7">
      <c r="A41" s="763" t="s">
        <v>47</v>
      </c>
      <c r="B41" s="551">
        <f>SUM(B31:B40)</f>
        <v>164904.31836361071</v>
      </c>
      <c r="C41" s="485"/>
      <c r="D41" s="477"/>
    </row>
    <row r="42" spans="1:7">
      <c r="A42" s="496" t="s">
        <v>48</v>
      </c>
      <c r="B42" s="487"/>
      <c r="C42" s="485"/>
      <c r="D42" s="477"/>
    </row>
    <row r="43" spans="1:7" s="63" customFormat="1" ht="38.25">
      <c r="A43" s="510" t="s">
        <v>49</v>
      </c>
      <c r="B43" s="580">
        <f>(G27*100.2134*6)+(G27*104.2268)+(1.71*(B8+B9)*12)</f>
        <v>7577.1473279999991</v>
      </c>
      <c r="C43" s="582" t="s">
        <v>987</v>
      </c>
      <c r="D43" s="512"/>
    </row>
    <row r="44" spans="1:7" s="63" customFormat="1">
      <c r="A44" s="291" t="s">
        <v>50</v>
      </c>
      <c r="B44" s="276">
        <f>15.92*G20</f>
        <v>13294.791999999999</v>
      </c>
      <c r="C44" s="424" t="s">
        <v>988</v>
      </c>
      <c r="D44" s="377" t="s">
        <v>90</v>
      </c>
    </row>
    <row r="45" spans="1:7" ht="89.25">
      <c r="A45" s="583" t="s">
        <v>120</v>
      </c>
      <c r="B45" s="502">
        <f>17.51*(B8+B9)</f>
        <v>0</v>
      </c>
      <c r="C45" s="485" t="s">
        <v>989</v>
      </c>
      <c r="D45" s="579"/>
    </row>
    <row r="46" spans="1:7" ht="51">
      <c r="A46" s="104" t="s">
        <v>51</v>
      </c>
      <c r="B46" s="478">
        <f>(654.11+263.56/3)*G34/1000</f>
        <v>6791.9323533333336</v>
      </c>
      <c r="C46" s="511" t="s">
        <v>990</v>
      </c>
      <c r="D46" s="501" t="s">
        <v>91</v>
      </c>
    </row>
    <row r="47" spans="1:7" ht="51">
      <c r="A47" s="514" t="s">
        <v>52</v>
      </c>
      <c r="B47" s="584">
        <f>((G26/12*6*100.2134)+(G26/12*6*104.2268))+((G26/12*6*100.2134)+(G26/12*6*104.2268))/1.302*25%</f>
        <v>62060.645931809529</v>
      </c>
      <c r="C47" s="582" t="s">
        <v>991</v>
      </c>
      <c r="D47" s="579"/>
    </row>
    <row r="48" spans="1:7" ht="15.75">
      <c r="A48" s="117" t="s">
        <v>53</v>
      </c>
      <c r="B48" s="99">
        <f>SUM(B43:B47)</f>
        <v>89724.51761314286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32">
        <f>B50+B51</f>
        <v>0</v>
      </c>
      <c r="C55" s="122"/>
      <c r="D55" s="90"/>
    </row>
    <row r="56" spans="1:4">
      <c r="A56" s="123" t="s">
        <v>61</v>
      </c>
      <c r="B56" s="88">
        <f>3.051*(B12+B13)</f>
        <v>7917.9551999999994</v>
      </c>
      <c r="C56" s="120" t="s">
        <v>992</v>
      </c>
      <c r="D56" s="90"/>
    </row>
    <row r="57" spans="1:4">
      <c r="A57" s="124" t="s">
        <v>62</v>
      </c>
      <c r="B57" s="125">
        <f>1.54*(B12+B13)</f>
        <v>3996.6079999999997</v>
      </c>
      <c r="C57" s="177" t="s">
        <v>993</v>
      </c>
      <c r="D57" s="90"/>
    </row>
    <row r="58" spans="1:4">
      <c r="A58" s="68" t="s">
        <v>63</v>
      </c>
      <c r="B58" s="88">
        <f>(B41+B48)*0.348</f>
        <v>88610.834919910238</v>
      </c>
      <c r="C58" s="120" t="s">
        <v>514</v>
      </c>
      <c r="D58" s="90"/>
    </row>
    <row r="59" spans="1:4" ht="38.25">
      <c r="A59" s="68" t="s">
        <v>121</v>
      </c>
      <c r="B59" s="125">
        <f>(B41+B48+B58)*0.132</f>
        <v>45307.63655835962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145833.03467826988</v>
      </c>
      <c r="C60" s="122"/>
      <c r="D60" s="90"/>
    </row>
    <row r="61" spans="1:4">
      <c r="A61" s="68" t="s">
        <v>64</v>
      </c>
      <c r="B61" s="88">
        <f>(B41+B48+B55+B60)*3%</f>
        <v>12013.856119650703</v>
      </c>
      <c r="C61" s="120"/>
      <c r="D61" s="90"/>
    </row>
    <row r="62" spans="1:4" ht="15.75">
      <c r="A62" s="128" t="s">
        <v>26</v>
      </c>
      <c r="B62" s="595">
        <f>B41+B48+B55+B60+B61</f>
        <v>412475.72677467414</v>
      </c>
      <c r="C62" s="130"/>
      <c r="D62" s="90"/>
    </row>
    <row r="63" spans="1:4" ht="15.75">
      <c r="A63" s="128" t="s">
        <v>65</v>
      </c>
      <c r="B63" s="595">
        <f>B62*1.2</f>
        <v>494970.87212960894</v>
      </c>
      <c r="C63" s="130"/>
      <c r="D63" s="90"/>
    </row>
    <row r="64" spans="1:4" ht="15.75">
      <c r="A64" s="131"/>
      <c r="B64" s="132">
        <f>B28-B63</f>
        <v>-118875.12812960893</v>
      </c>
      <c r="C64" s="133"/>
      <c r="D64" s="90"/>
    </row>
    <row r="65" spans="1:4" ht="30">
      <c r="A65" s="134" t="s">
        <v>123</v>
      </c>
      <c r="B65" s="135">
        <f>B63/(B12+B13)/12</f>
        <v>15.893793417643115</v>
      </c>
      <c r="C65" s="136" t="s">
        <v>405</v>
      </c>
      <c r="D65" s="137"/>
    </row>
    <row r="66" spans="1:4">
      <c r="A66" s="138"/>
      <c r="D66" s="138"/>
    </row>
    <row r="67" spans="1:4" ht="24" customHeight="1">
      <c r="A67" s="799" t="s">
        <v>124</v>
      </c>
      <c r="B67" s="799"/>
      <c r="C67" s="799"/>
      <c r="D67" s="138"/>
    </row>
    <row r="68" spans="1:4" ht="30.75" customHeight="1">
      <c r="A68" s="800" t="s">
        <v>518</v>
      </c>
      <c r="B68" s="800"/>
      <c r="C68" s="800"/>
      <c r="D68" s="138"/>
    </row>
    <row r="69" spans="1:4" ht="30.75" customHeight="1">
      <c r="A69" s="800" t="s">
        <v>519</v>
      </c>
      <c r="B69" s="800"/>
      <c r="C69" s="800"/>
      <c r="D69" s="138"/>
    </row>
    <row r="70" spans="1:4">
      <c r="A70" s="160"/>
      <c r="B70" s="453"/>
      <c r="C70" s="193"/>
    </row>
    <row r="71" spans="1:4">
      <c r="A71" s="797" t="s">
        <v>505</v>
      </c>
      <c r="B71" s="797"/>
      <c r="C71" s="797"/>
    </row>
    <row r="72" spans="1:4" ht="18.75">
      <c r="A72" s="170"/>
      <c r="B72" s="170"/>
      <c r="C72" s="170"/>
    </row>
    <row r="81" spans="1:4" s="65" customFormat="1">
      <c r="A81" s="66"/>
      <c r="B81" s="66"/>
      <c r="C81" s="66"/>
      <c r="D81" s="67"/>
    </row>
    <row r="82" spans="1:4" s="65" customFormat="1">
      <c r="A82" s="66"/>
      <c r="B82" s="66"/>
      <c r="C82" s="66"/>
      <c r="D82" s="67"/>
    </row>
    <row r="83" spans="1:4" s="65" customFormat="1">
      <c r="A83" s="66"/>
      <c r="B83" s="66"/>
      <c r="C83" s="66"/>
      <c r="D83" s="67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</sheetData>
  <mergeCells count="6">
    <mergeCell ref="A71:C71"/>
    <mergeCell ref="A69:C69"/>
    <mergeCell ref="A8:D8"/>
    <mergeCell ref="A9:D10"/>
    <mergeCell ref="A67:C67"/>
    <mergeCell ref="A68:C68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F0"/>
  </sheetPr>
  <dimension ref="A1:G98"/>
  <sheetViews>
    <sheetView topLeftCell="A39" workbookViewId="0">
      <selection activeCell="E39" sqref="E1:G1048576"/>
    </sheetView>
  </sheetViews>
  <sheetFormatPr defaultColWidth="9.140625"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8" style="194" customWidth="1"/>
    <col min="5" max="5" width="9.1406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4" ht="15.75">
      <c r="C1" s="163" t="s">
        <v>0</v>
      </c>
    </row>
    <row r="2" spans="1:4" ht="15.75">
      <c r="C2" s="163" t="s">
        <v>216</v>
      </c>
    </row>
    <row r="3" spans="1:4" ht="15.75">
      <c r="C3" s="163" t="s">
        <v>189</v>
      </c>
    </row>
    <row r="4" spans="1:4" ht="15.75">
      <c r="C4" s="163"/>
    </row>
    <row r="5" spans="1:4" ht="15.75">
      <c r="C5" s="163" t="s">
        <v>217</v>
      </c>
    </row>
    <row r="6" spans="1:4" ht="18" customHeight="1">
      <c r="C6" s="70"/>
    </row>
    <row r="7" spans="1:4" ht="21.75" customHeight="1">
      <c r="C7" s="70"/>
    </row>
    <row r="8" spans="1:4" ht="31.5" customHeight="1">
      <c r="A8" s="798" t="s">
        <v>478</v>
      </c>
      <c r="B8" s="798"/>
      <c r="C8" s="798"/>
      <c r="D8" s="798"/>
    </row>
    <row r="9" spans="1:4" ht="15" customHeight="1">
      <c r="A9" s="798" t="s">
        <v>113</v>
      </c>
      <c r="B9" s="798"/>
      <c r="C9" s="798"/>
      <c r="D9" s="798"/>
    </row>
    <row r="10" spans="1:4" ht="15" customHeight="1">
      <c r="A10" s="798"/>
      <c r="B10" s="798"/>
      <c r="C10" s="798"/>
      <c r="D10" s="798"/>
    </row>
    <row r="11" spans="1:4" ht="15" customHeight="1">
      <c r="A11" s="73"/>
      <c r="B11" s="73"/>
      <c r="C11" s="73"/>
    </row>
    <row r="12" spans="1:4" ht="15.75">
      <c r="A12" s="74" t="s">
        <v>2</v>
      </c>
      <c r="B12" s="76">
        <v>3507.1</v>
      </c>
      <c r="C12" s="76" t="s">
        <v>72</v>
      </c>
    </row>
    <row r="13" spans="1:4" s="59" customFormat="1" ht="15.75">
      <c r="A13" s="77" t="s">
        <v>3</v>
      </c>
      <c r="B13" s="206">
        <f>330.2+43.4+433.2</f>
        <v>806.8</v>
      </c>
      <c r="C13" s="79"/>
      <c r="D13" s="196"/>
    </row>
    <row r="14" spans="1:4" s="59" customFormat="1" ht="22.5" customHeight="1">
      <c r="A14" s="77"/>
      <c r="B14" s="195"/>
      <c r="C14" s="79"/>
      <c r="D14" s="196"/>
    </row>
    <row r="15" spans="1:4" ht="31.5">
      <c r="A15" s="81" t="s">
        <v>4</v>
      </c>
      <c r="B15" s="82" t="s">
        <v>5</v>
      </c>
      <c r="C15" s="83" t="s">
        <v>661</v>
      </c>
      <c r="D15" s="84" t="s">
        <v>84</v>
      </c>
    </row>
    <row r="16" spans="1:4">
      <c r="A16" s="85" t="s">
        <v>7</v>
      </c>
      <c r="B16" s="149">
        <f>B12*13.65*12</f>
        <v>574462.98</v>
      </c>
      <c r="C16" s="207" t="s">
        <v>996</v>
      </c>
      <c r="D16" s="86" t="s">
        <v>85</v>
      </c>
    </row>
    <row r="17" spans="1:7">
      <c r="A17" s="91" t="s">
        <v>9</v>
      </c>
      <c r="B17" s="88">
        <f>B18+B20+++B22</f>
        <v>132153.84</v>
      </c>
      <c r="C17" s="89"/>
      <c r="D17" s="86"/>
    </row>
    <row r="18" spans="1:7" ht="27">
      <c r="A18" s="756" t="s">
        <v>83</v>
      </c>
      <c r="B18" s="757">
        <f>B19</f>
        <v>54086.759999999995</v>
      </c>
      <c r="C18" s="93"/>
      <c r="D18" s="86"/>
    </row>
    <row r="19" spans="1:7">
      <c r="A19" s="94" t="s">
        <v>10</v>
      </c>
      <c r="B19" s="149">
        <f>330.2*13.65*12</f>
        <v>54086.759999999995</v>
      </c>
      <c r="C19" s="207" t="s">
        <v>997</v>
      </c>
      <c r="D19" s="86" t="s">
        <v>85</v>
      </c>
    </row>
    <row r="20" spans="1:7">
      <c r="A20" s="756" t="s">
        <v>212</v>
      </c>
      <c r="B20" s="757">
        <f>B21</f>
        <v>7108.92</v>
      </c>
      <c r="C20" s="93"/>
      <c r="D20" s="86"/>
    </row>
    <row r="21" spans="1:7">
      <c r="A21" s="94" t="s">
        <v>10</v>
      </c>
      <c r="B21" s="149">
        <f>43.4*13.65*12</f>
        <v>7108.92</v>
      </c>
      <c r="C21" s="207" t="s">
        <v>998</v>
      </c>
      <c r="D21" s="86" t="s">
        <v>85</v>
      </c>
      <c r="F21" s="253" t="s">
        <v>132</v>
      </c>
      <c r="G21" s="254">
        <v>13.65</v>
      </c>
    </row>
    <row r="22" spans="1:7">
      <c r="A22" s="756" t="s">
        <v>406</v>
      </c>
      <c r="B22" s="757">
        <f>B23</f>
        <v>70958.16</v>
      </c>
      <c r="C22" s="93"/>
      <c r="D22" s="86"/>
      <c r="F22" s="259" t="s">
        <v>134</v>
      </c>
      <c r="G22" s="260">
        <v>3507.1</v>
      </c>
    </row>
    <row r="23" spans="1:7">
      <c r="A23" s="94" t="s">
        <v>10</v>
      </c>
      <c r="B23" s="149">
        <f>433.2*13.65*12</f>
        <v>70958.16</v>
      </c>
      <c r="C23" s="207" t="s">
        <v>999</v>
      </c>
      <c r="D23" s="86" t="s">
        <v>85</v>
      </c>
      <c r="F23" s="259" t="s">
        <v>135</v>
      </c>
      <c r="G23" s="260">
        <v>79</v>
      </c>
    </row>
    <row r="24" spans="1:7" ht="15.75">
      <c r="A24" s="95" t="s">
        <v>12</v>
      </c>
      <c r="B24" s="764">
        <f>B16+B17</f>
        <v>706616.82</v>
      </c>
      <c r="C24" s="177"/>
      <c r="D24" s="86"/>
      <c r="F24" s="259" t="s">
        <v>136</v>
      </c>
      <c r="G24" s="260">
        <v>184</v>
      </c>
    </row>
    <row r="25" spans="1:7">
      <c r="A25" s="97" t="s">
        <v>13</v>
      </c>
      <c r="B25" s="88">
        <f>B26+B27+B28+B29+B30+B31+B32</f>
        <v>6839.76</v>
      </c>
      <c r="C25" s="177"/>
      <c r="D25" s="86"/>
      <c r="F25" s="247" t="s">
        <v>459</v>
      </c>
      <c r="G25" s="248">
        <v>0</v>
      </c>
    </row>
    <row r="26" spans="1:7">
      <c r="A26" s="68" t="s">
        <v>14</v>
      </c>
      <c r="B26" s="88">
        <f>34.98*12</f>
        <v>419.76</v>
      </c>
      <c r="C26" s="177" t="s">
        <v>15</v>
      </c>
      <c r="D26" s="86" t="s">
        <v>85</v>
      </c>
      <c r="F26" s="259" t="s">
        <v>139</v>
      </c>
      <c r="G26" s="260">
        <v>970</v>
      </c>
    </row>
    <row r="27" spans="1:7">
      <c r="A27" s="68" t="s">
        <v>16</v>
      </c>
      <c r="B27" s="88">
        <f>137.5*12*0</f>
        <v>0</v>
      </c>
      <c r="C27" s="177" t="s">
        <v>17</v>
      </c>
      <c r="D27" s="86"/>
      <c r="F27" s="259" t="s">
        <v>140</v>
      </c>
      <c r="G27" s="260">
        <v>0</v>
      </c>
    </row>
    <row r="28" spans="1:7">
      <c r="A28" s="68" t="s">
        <v>18</v>
      </c>
      <c r="B28" s="88">
        <f>123.75*12</f>
        <v>1485</v>
      </c>
      <c r="C28" s="177" t="s">
        <v>19</v>
      </c>
      <c r="D28" s="86" t="s">
        <v>85</v>
      </c>
      <c r="F28" s="259" t="s">
        <v>141</v>
      </c>
      <c r="G28" s="260">
        <v>0</v>
      </c>
    </row>
    <row r="29" spans="1:7">
      <c r="A29" s="68" t="s">
        <v>20</v>
      </c>
      <c r="B29" s="88">
        <f>123.75*12</f>
        <v>1485</v>
      </c>
      <c r="C29" s="177" t="s">
        <v>19</v>
      </c>
      <c r="D29" s="86" t="s">
        <v>85</v>
      </c>
      <c r="F29" s="259" t="s">
        <v>142</v>
      </c>
      <c r="G29" s="260">
        <v>1468.4</v>
      </c>
    </row>
    <row r="30" spans="1:7">
      <c r="A30" s="68" t="s">
        <v>66</v>
      </c>
      <c r="B30" s="88">
        <f>150*12</f>
        <v>1800</v>
      </c>
      <c r="C30" s="177" t="s">
        <v>21</v>
      </c>
      <c r="D30" s="86" t="s">
        <v>85</v>
      </c>
      <c r="F30" s="259" t="s">
        <v>143</v>
      </c>
      <c r="G30" s="277">
        <v>2898</v>
      </c>
    </row>
    <row r="31" spans="1:7">
      <c r="A31" s="68" t="s">
        <v>22</v>
      </c>
      <c r="B31" s="88">
        <f>137.5*12</f>
        <v>1650</v>
      </c>
      <c r="C31" s="177" t="s">
        <v>17</v>
      </c>
      <c r="D31" s="86" t="s">
        <v>85</v>
      </c>
      <c r="F31" s="259" t="s">
        <v>144</v>
      </c>
      <c r="G31" s="278">
        <v>0</v>
      </c>
    </row>
    <row r="32" spans="1:7">
      <c r="A32" s="68" t="s">
        <v>23</v>
      </c>
      <c r="B32" s="88">
        <f>150*12*0</f>
        <v>0</v>
      </c>
      <c r="C32" s="177" t="s">
        <v>21</v>
      </c>
      <c r="D32" s="86"/>
      <c r="F32" s="259" t="s">
        <v>145</v>
      </c>
      <c r="G32" s="278">
        <v>502.29</v>
      </c>
    </row>
    <row r="33" spans="1:7">
      <c r="A33" s="97" t="s">
        <v>24</v>
      </c>
      <c r="B33" s="88">
        <f>B34</f>
        <v>0</v>
      </c>
      <c r="C33" s="177"/>
      <c r="D33" s="86"/>
      <c r="F33" s="259" t="s">
        <v>460</v>
      </c>
      <c r="G33" s="278">
        <v>8.44</v>
      </c>
    </row>
    <row r="34" spans="1:7">
      <c r="A34" s="68"/>
      <c r="B34" s="88"/>
      <c r="C34" s="177"/>
      <c r="D34" s="86"/>
      <c r="F34" s="259" t="s">
        <v>461</v>
      </c>
      <c r="G34" s="278">
        <f>(G29/3+G30)/2920</f>
        <v>1.1600913242009132</v>
      </c>
    </row>
    <row r="35" spans="1:7" ht="18.75">
      <c r="A35" s="98" t="s">
        <v>26</v>
      </c>
      <c r="B35" s="132">
        <f>B24+B25+B33</f>
        <v>713456.58</v>
      </c>
      <c r="C35" s="177"/>
      <c r="D35" s="86"/>
      <c r="F35" s="259" t="s">
        <v>148</v>
      </c>
      <c r="G35" s="278">
        <v>0</v>
      </c>
    </row>
    <row r="36" spans="1:7" ht="15.75">
      <c r="A36" s="82" t="s">
        <v>27</v>
      </c>
      <c r="B36" s="100" t="s">
        <v>5</v>
      </c>
      <c r="C36" s="197" t="s">
        <v>28</v>
      </c>
      <c r="D36" s="86"/>
      <c r="F36" s="259" t="s">
        <v>149</v>
      </c>
      <c r="G36" s="279">
        <v>0</v>
      </c>
    </row>
    <row r="37" spans="1:7">
      <c r="A37" s="102" t="s">
        <v>29</v>
      </c>
      <c r="B37" s="88"/>
      <c r="C37" s="103"/>
      <c r="D37" s="86"/>
      <c r="F37" s="247" t="s">
        <v>151</v>
      </c>
      <c r="G37" s="279">
        <v>5</v>
      </c>
    </row>
    <row r="38" spans="1:7" ht="51">
      <c r="A38" s="496" t="s">
        <v>30</v>
      </c>
      <c r="B38" s="599">
        <f>(G34*(3708+200)*1.5*1.15*1.083*1.302*6)+G34*((3708+200)*1.5*1.15*1.083*1.302*6)+(0.104*G29*12)</f>
        <v>134162.01710842454</v>
      </c>
      <c r="C38" s="497" t="s">
        <v>1000</v>
      </c>
      <c r="D38" s="600" t="s">
        <v>86</v>
      </c>
      <c r="F38" s="247" t="s">
        <v>462</v>
      </c>
      <c r="G38" s="279">
        <v>325.2</v>
      </c>
    </row>
    <row r="39" spans="1:7" ht="25.5">
      <c r="A39" s="104" t="s">
        <v>31</v>
      </c>
      <c r="B39" s="601">
        <f>(G36*9921.13*6)+(G36*10317.11*6)</f>
        <v>0</v>
      </c>
      <c r="C39" s="176" t="s">
        <v>509</v>
      </c>
      <c r="D39" s="234"/>
      <c r="F39" s="285" t="s">
        <v>463</v>
      </c>
      <c r="G39" s="286">
        <v>325.2</v>
      </c>
    </row>
    <row r="40" spans="1:7" ht="38.25">
      <c r="A40" s="104" t="s">
        <v>32</v>
      </c>
      <c r="B40" s="760">
        <f>(G35*9921.13*6)+(G35*10317.11*6)+(G23*10.41812*12)*G28</f>
        <v>0</v>
      </c>
      <c r="C40" s="198" t="s">
        <v>1001</v>
      </c>
      <c r="D40" s="234"/>
      <c r="F40" s="289" t="s">
        <v>464</v>
      </c>
      <c r="G40" s="290">
        <v>14792</v>
      </c>
    </row>
    <row r="41" spans="1:7">
      <c r="A41" s="104" t="s">
        <v>34</v>
      </c>
      <c r="B41" s="602">
        <f>(16.06+16.7)*G23</f>
        <v>2588.04</v>
      </c>
      <c r="C41" s="603" t="s">
        <v>1002</v>
      </c>
      <c r="D41" s="234" t="s">
        <v>88</v>
      </c>
      <c r="F41" s="247" t="s">
        <v>465</v>
      </c>
      <c r="G41" s="279">
        <v>1</v>
      </c>
    </row>
    <row r="42" spans="1:7" ht="28.5" customHeight="1">
      <c r="A42" s="104" t="s">
        <v>35</v>
      </c>
      <c r="B42" s="602">
        <f>(49.72+51.71)*2*0</f>
        <v>0</v>
      </c>
      <c r="C42" s="603" t="s">
        <v>469</v>
      </c>
      <c r="D42" s="234"/>
      <c r="F42" s="247" t="s">
        <v>467</v>
      </c>
      <c r="G42" s="279">
        <v>2</v>
      </c>
    </row>
    <row r="43" spans="1:7">
      <c r="A43" s="104" t="s">
        <v>36</v>
      </c>
      <c r="B43" s="604">
        <f>0.25*G39*12</f>
        <v>975.59999999999991</v>
      </c>
      <c r="C43" s="605" t="s">
        <v>1003</v>
      </c>
      <c r="D43" s="234" t="s">
        <v>85</v>
      </c>
    </row>
    <row r="44" spans="1:7">
      <c r="A44" s="106" t="s">
        <v>37</v>
      </c>
      <c r="B44" s="761">
        <f>2.34*G39*4</f>
        <v>3043.8719999999998</v>
      </c>
      <c r="C44" s="606" t="s">
        <v>1004</v>
      </c>
      <c r="D44" s="234" t="s">
        <v>89</v>
      </c>
    </row>
    <row r="45" spans="1:7">
      <c r="A45" s="501" t="s">
        <v>158</v>
      </c>
      <c r="B45" s="502">
        <f>407.05*12</f>
        <v>4884.6000000000004</v>
      </c>
      <c r="C45" s="488" t="s">
        <v>995</v>
      </c>
      <c r="D45" s="579"/>
    </row>
    <row r="46" spans="1:7" ht="25.5">
      <c r="A46" s="501" t="s">
        <v>67</v>
      </c>
      <c r="B46" s="482">
        <f>(635.59*6+661.01*6)*G41</f>
        <v>7779.6</v>
      </c>
      <c r="C46" s="476" t="s">
        <v>496</v>
      </c>
      <c r="D46" s="579" t="s">
        <v>85</v>
      </c>
    </row>
    <row r="47" spans="1:7" ht="25.5">
      <c r="A47" s="501" t="s">
        <v>190</v>
      </c>
      <c r="B47" s="762">
        <f>(466.1*6+484.74*6)*G25</f>
        <v>0</v>
      </c>
      <c r="C47" s="476" t="s">
        <v>497</v>
      </c>
      <c r="D47" s="579" t="s">
        <v>85</v>
      </c>
    </row>
    <row r="48" spans="1:7">
      <c r="A48" s="763" t="s">
        <v>47</v>
      </c>
      <c r="B48" s="551">
        <f>SUM(B38:B47)</f>
        <v>153433.72910842457</v>
      </c>
      <c r="C48" s="485"/>
      <c r="D48" s="477"/>
    </row>
    <row r="49" spans="1:4">
      <c r="A49" s="496" t="s">
        <v>48</v>
      </c>
      <c r="B49" s="487"/>
      <c r="C49" s="485"/>
      <c r="D49" s="477"/>
    </row>
    <row r="50" spans="1:4" s="63" customFormat="1" ht="38.25">
      <c r="A50" s="510" t="s">
        <v>49</v>
      </c>
      <c r="B50" s="580">
        <f>(G33*100.2134*6)+(G33*104.2268)+(1.71*(B12+B13)*12)</f>
        <v>94475.708767999982</v>
      </c>
      <c r="C50" s="582" t="s">
        <v>1005</v>
      </c>
      <c r="D50" s="512"/>
    </row>
    <row r="51" spans="1:4">
      <c r="A51" s="291" t="s">
        <v>50</v>
      </c>
      <c r="B51" s="276">
        <f>15.92*G26</f>
        <v>15442.4</v>
      </c>
      <c r="C51" s="424" t="s">
        <v>1009</v>
      </c>
      <c r="D51" s="377" t="s">
        <v>90</v>
      </c>
    </row>
    <row r="52" spans="1:4" ht="89.25">
      <c r="A52" s="583" t="s">
        <v>120</v>
      </c>
      <c r="B52" s="502">
        <f>17.51*(B12+B13)</f>
        <v>75536.388999999996</v>
      </c>
      <c r="C52" s="485" t="s">
        <v>1006</v>
      </c>
      <c r="D52" s="579"/>
    </row>
    <row r="53" spans="1:4" ht="51">
      <c r="A53" s="104" t="s">
        <v>51</v>
      </c>
      <c r="B53" s="478">
        <f>(654.11+263.56/3)*G40/1000</f>
        <v>10975.121626666667</v>
      </c>
      <c r="C53" s="511" t="s">
        <v>1010</v>
      </c>
      <c r="D53" s="501" t="s">
        <v>91</v>
      </c>
    </row>
    <row r="54" spans="1:4" ht="51">
      <c r="A54" s="514" t="s">
        <v>52</v>
      </c>
      <c r="B54" s="584">
        <f>((G32/12*6*100.2134)+(G32/12*6*104.2268))+((G32/12*6*100.2134)+(G32/12*6*104.2268))/1.302*25%</f>
        <v>61202.838719668202</v>
      </c>
      <c r="C54" s="582" t="s">
        <v>1011</v>
      </c>
      <c r="D54" s="579"/>
    </row>
    <row r="55" spans="1:4" ht="15.75">
      <c r="A55" s="117" t="s">
        <v>53</v>
      </c>
      <c r="B55" s="132">
        <f>B50+B51+B52+B53+B54</f>
        <v>257632.45811433485</v>
      </c>
      <c r="C55" s="200"/>
      <c r="D55" s="86"/>
    </row>
    <row r="56" spans="1:4">
      <c r="A56" s="116" t="s">
        <v>54</v>
      </c>
      <c r="B56" s="88"/>
      <c r="C56" s="177"/>
      <c r="D56" s="86"/>
    </row>
    <row r="57" spans="1:4" s="62" customFormat="1" ht="12.75">
      <c r="A57" s="118" t="s">
        <v>55</v>
      </c>
      <c r="B57" s="201">
        <v>0</v>
      </c>
      <c r="C57" s="202"/>
      <c r="D57" s="86"/>
    </row>
    <row r="58" spans="1:4">
      <c r="A58" s="116" t="s">
        <v>56</v>
      </c>
      <c r="B58" s="88">
        <v>0</v>
      </c>
      <c r="C58" s="120"/>
      <c r="D58" s="86"/>
    </row>
    <row r="59" spans="1:4">
      <c r="A59" s="116" t="s">
        <v>57</v>
      </c>
      <c r="B59" s="88"/>
      <c r="C59" s="120"/>
      <c r="D59" s="86"/>
    </row>
    <row r="60" spans="1:4">
      <c r="A60" s="116" t="s">
        <v>58</v>
      </c>
      <c r="B60" s="88"/>
      <c r="C60" s="120"/>
      <c r="D60" s="86"/>
    </row>
    <row r="61" spans="1:4">
      <c r="A61" s="116" t="s">
        <v>59</v>
      </c>
      <c r="B61" s="88"/>
      <c r="C61" s="120"/>
      <c r="D61" s="86"/>
    </row>
    <row r="62" spans="1:4" ht="15.75">
      <c r="A62" s="117" t="s">
        <v>60</v>
      </c>
      <c r="B62" s="132">
        <f>B57+B58</f>
        <v>0</v>
      </c>
      <c r="C62" s="122"/>
      <c r="D62" s="86"/>
    </row>
    <row r="63" spans="1:4">
      <c r="A63" s="123" t="s">
        <v>61</v>
      </c>
      <c r="B63" s="88">
        <f>3.051*(B13+B12)</f>
        <v>13161.7089</v>
      </c>
      <c r="C63" s="120" t="s">
        <v>1007</v>
      </c>
      <c r="D63" s="86"/>
    </row>
    <row r="64" spans="1:4">
      <c r="A64" s="124" t="s">
        <v>62</v>
      </c>
      <c r="B64" s="125">
        <f>1.54*(B13+B12)</f>
        <v>6643.4059999999999</v>
      </c>
      <c r="C64" s="177" t="s">
        <v>1008</v>
      </c>
      <c r="D64" s="86"/>
    </row>
    <row r="65" spans="1:4">
      <c r="A65" s="68" t="s">
        <v>63</v>
      </c>
      <c r="B65" s="88">
        <f>(B48+B55)*0.348</f>
        <v>143051.03315352026</v>
      </c>
      <c r="C65" s="120" t="s">
        <v>514</v>
      </c>
      <c r="D65" s="86"/>
    </row>
    <row r="66" spans="1:4" ht="38.25">
      <c r="A66" s="68" t="s">
        <v>121</v>
      </c>
      <c r="B66" s="125">
        <f>(B48+B55+B65)*0.132</f>
        <v>73143.473089668914</v>
      </c>
      <c r="C66" s="69" t="s">
        <v>225</v>
      </c>
      <c r="D66" s="86" t="s">
        <v>85</v>
      </c>
    </row>
    <row r="67" spans="1:4" ht="15.75">
      <c r="A67" s="127" t="s">
        <v>122</v>
      </c>
      <c r="B67" s="132">
        <f>B63+B64+B65+B66</f>
        <v>235999.62114318914</v>
      </c>
      <c r="C67" s="122"/>
      <c r="D67" s="86"/>
    </row>
    <row r="68" spans="1:4">
      <c r="A68" s="68" t="s">
        <v>64</v>
      </c>
      <c r="B68" s="88">
        <f>(B48+B55+B62+B67)*3%</f>
        <v>19411.974250978456</v>
      </c>
      <c r="C68" s="120"/>
      <c r="D68" s="86"/>
    </row>
    <row r="69" spans="1:4" ht="15.75">
      <c r="A69" s="128" t="s">
        <v>26</v>
      </c>
      <c r="B69" s="595">
        <f>B48+B55+B62+B67+B68</f>
        <v>666477.78261692694</v>
      </c>
      <c r="C69" s="130"/>
      <c r="D69" s="86"/>
    </row>
    <row r="70" spans="1:4" ht="15.75">
      <c r="A70" s="128" t="s">
        <v>65</v>
      </c>
      <c r="B70" s="595">
        <f>B69*1.2</f>
        <v>799773.33914031228</v>
      </c>
      <c r="C70" s="130"/>
      <c r="D70" s="86"/>
    </row>
    <row r="71" spans="1:4" ht="15.75">
      <c r="A71" s="131"/>
      <c r="B71" s="132">
        <f>B35-B70</f>
        <v>-86316.759140312322</v>
      </c>
      <c r="C71" s="133"/>
      <c r="D71" s="86"/>
    </row>
    <row r="72" spans="1:4" ht="30">
      <c r="A72" s="203" t="s">
        <v>123</v>
      </c>
      <c r="B72" s="204">
        <f>B70/(B12+B13)/12</f>
        <v>15.44954177465697</v>
      </c>
      <c r="C72" s="169" t="s">
        <v>407</v>
      </c>
      <c r="D72" s="137"/>
    </row>
    <row r="73" spans="1:4">
      <c r="A73" s="205"/>
      <c r="D73" s="205"/>
    </row>
    <row r="74" spans="1:4" ht="15" customHeight="1">
      <c r="A74" s="799" t="s">
        <v>124</v>
      </c>
      <c r="B74" s="799"/>
      <c r="C74" s="799"/>
      <c r="D74" s="138"/>
    </row>
    <row r="75" spans="1:4" ht="37.5" customHeight="1">
      <c r="A75" s="800" t="s">
        <v>518</v>
      </c>
      <c r="B75" s="800"/>
      <c r="C75" s="800"/>
      <c r="D75" s="196"/>
    </row>
    <row r="76" spans="1:4" ht="27" customHeight="1">
      <c r="A76" s="800" t="s">
        <v>519</v>
      </c>
      <c r="B76" s="800"/>
      <c r="C76" s="800"/>
      <c r="D76" s="196"/>
    </row>
    <row r="77" spans="1:4" ht="24" customHeight="1">
      <c r="A77" s="160"/>
      <c r="B77" s="453"/>
      <c r="D77" s="138"/>
    </row>
    <row r="78" spans="1:4">
      <c r="A78" s="797" t="s">
        <v>505</v>
      </c>
      <c r="B78" s="797"/>
      <c r="C78" s="797"/>
      <c r="D78" s="138"/>
    </row>
    <row r="79" spans="1:4" ht="18.75">
      <c r="A79" s="170"/>
      <c r="B79" s="170"/>
      <c r="C79" s="170"/>
      <c r="D79" s="138"/>
    </row>
    <row r="80" spans="1:4">
      <c r="A80" s="66"/>
      <c r="B80" s="66"/>
      <c r="C80" s="66"/>
    </row>
    <row r="82" spans="1:4" ht="18.75">
      <c r="A82" s="170"/>
      <c r="B82" s="170"/>
      <c r="C82" s="170"/>
    </row>
    <row r="91" spans="1:4" s="65" customFormat="1">
      <c r="A91" s="193"/>
      <c r="B91" s="193"/>
      <c r="C91" s="193"/>
      <c r="D91" s="194"/>
    </row>
    <row r="92" spans="1:4" s="65" customFormat="1">
      <c r="A92" s="193"/>
      <c r="B92" s="193"/>
      <c r="C92" s="193"/>
      <c r="D92" s="194"/>
    </row>
    <row r="93" spans="1:4" s="65" customFormat="1">
      <c r="A93" s="193"/>
      <c r="B93" s="193"/>
      <c r="C93" s="193"/>
      <c r="D93" s="194"/>
    </row>
    <row r="94" spans="1:4" s="65" customFormat="1">
      <c r="A94" s="193"/>
      <c r="B94" s="193"/>
      <c r="C94" s="193"/>
      <c r="D94" s="194"/>
    </row>
    <row r="95" spans="1:4" s="65" customFormat="1">
      <c r="A95" s="193"/>
      <c r="B95" s="193"/>
      <c r="C95" s="193"/>
      <c r="D95" s="194"/>
    </row>
    <row r="96" spans="1:4" s="65" customFormat="1">
      <c r="A96" s="193"/>
      <c r="B96" s="193"/>
      <c r="C96" s="193"/>
      <c r="D96" s="194"/>
    </row>
    <row r="97" spans="1:4" s="65" customFormat="1">
      <c r="A97" s="193"/>
      <c r="B97" s="193"/>
      <c r="C97" s="193"/>
      <c r="D97" s="194"/>
    </row>
    <row r="98" spans="1:4" s="65" customFormat="1">
      <c r="A98" s="193"/>
      <c r="B98" s="193"/>
      <c r="C98" s="193"/>
      <c r="D98" s="194"/>
    </row>
  </sheetData>
  <mergeCells count="6">
    <mergeCell ref="A78:C78"/>
    <mergeCell ref="A74:C74"/>
    <mergeCell ref="A8:D8"/>
    <mergeCell ref="A9:D10"/>
    <mergeCell ref="A75:C75"/>
    <mergeCell ref="A76:C76"/>
  </mergeCells>
  <pageMargins left="0.51181102362204722" right="0.11811023622047244" top="0.15748031496062992" bottom="0.15748031496062992" header="0.31496062992125984" footer="0.31496062992125984"/>
  <pageSetup paperSize="9" scale="85" orientation="portrait" verticalDpi="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B3:K99"/>
  <sheetViews>
    <sheetView topLeftCell="A43" workbookViewId="0">
      <selection activeCell="E55" sqref="E55"/>
    </sheetView>
  </sheetViews>
  <sheetFormatPr defaultColWidth="9.140625" defaultRowHeight="15"/>
  <cols>
    <col min="1" max="1" width="4" style="58" customWidth="1"/>
    <col min="2" max="2" width="44.7109375" style="66" customWidth="1"/>
    <col min="3" max="3" width="14.5703125" style="66" customWidth="1"/>
    <col min="4" max="4" width="33.42578125" style="66" customWidth="1"/>
    <col min="5" max="5" width="17.42578125" style="67" customWidth="1"/>
    <col min="6" max="6" width="4.5703125" style="58" customWidth="1"/>
    <col min="7" max="7" width="12.7109375" style="58" customWidth="1"/>
    <col min="8" max="8" width="9.140625" style="58"/>
    <col min="9" max="9" width="15.140625" style="58" customWidth="1"/>
    <col min="10" max="16384" width="9.140625" style="58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20.75</v>
      </c>
      <c r="K5" s="141" t="s">
        <v>133</v>
      </c>
    </row>
    <row r="6" spans="2:11" ht="15.75">
      <c r="D6" s="163"/>
      <c r="E6" s="65"/>
      <c r="I6" s="140" t="s">
        <v>134</v>
      </c>
      <c r="J6" s="140">
        <v>8521.9</v>
      </c>
      <c r="K6" s="141"/>
    </row>
    <row r="7" spans="2:11" ht="15.75">
      <c r="D7" s="163" t="s">
        <v>217</v>
      </c>
      <c r="E7" s="65"/>
      <c r="I7" s="140" t="s">
        <v>135</v>
      </c>
      <c r="J7" s="140">
        <v>180</v>
      </c>
      <c r="K7" s="141"/>
    </row>
    <row r="8" spans="2:11" ht="15.75">
      <c r="D8" s="70"/>
      <c r="I8" s="140" t="s">
        <v>136</v>
      </c>
      <c r="J8" s="212">
        <v>507</v>
      </c>
      <c r="K8" s="141"/>
    </row>
    <row r="9" spans="2:11" ht="15.75">
      <c r="D9" s="70"/>
      <c r="I9" s="142" t="s">
        <v>137</v>
      </c>
      <c r="J9" s="140">
        <v>38073</v>
      </c>
      <c r="K9" s="141"/>
    </row>
    <row r="10" spans="2:11" ht="34.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114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>
        <v>2</v>
      </c>
      <c r="K12" s="141"/>
    </row>
    <row r="13" spans="2:11" ht="15.75">
      <c r="B13" s="73"/>
      <c r="C13" s="73"/>
      <c r="D13" s="73"/>
      <c r="I13" s="140" t="s">
        <v>141</v>
      </c>
      <c r="J13" s="140">
        <v>2</v>
      </c>
      <c r="K13" s="141"/>
    </row>
    <row r="14" spans="2:11" ht="15.75">
      <c r="B14" s="74" t="s">
        <v>2</v>
      </c>
      <c r="C14" s="75">
        <v>8521.9</v>
      </c>
      <c r="D14" s="76" t="s">
        <v>72</v>
      </c>
      <c r="I14" s="140" t="s">
        <v>142</v>
      </c>
      <c r="J14" s="140">
        <v>2871</v>
      </c>
      <c r="K14" s="141"/>
    </row>
    <row r="15" spans="2:11" s="59" customFormat="1" ht="15.75">
      <c r="B15" s="77" t="s">
        <v>3</v>
      </c>
      <c r="C15" s="78">
        <v>0</v>
      </c>
      <c r="D15" s="79"/>
      <c r="E15" s="80"/>
      <c r="I15" s="140" t="s">
        <v>143</v>
      </c>
      <c r="J15" s="59">
        <v>3731.6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>
        <v>0</v>
      </c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1074.57</v>
      </c>
      <c r="K17" s="141"/>
    </row>
    <row r="18" spans="2:11">
      <c r="B18" s="85" t="s">
        <v>7</v>
      </c>
      <c r="C18" s="149">
        <f>C14*20.75*12</f>
        <v>2121953.0999999996</v>
      </c>
      <c r="D18" s="150" t="s">
        <v>213</v>
      </c>
      <c r="E18" s="86" t="s">
        <v>85</v>
      </c>
      <c r="I18" s="140" t="s">
        <v>146</v>
      </c>
      <c r="J18" s="140">
        <v>19.190000000000001</v>
      </c>
      <c r="K18" s="141"/>
    </row>
    <row r="19" spans="2:11" ht="38.25">
      <c r="B19" s="87" t="s">
        <v>8</v>
      </c>
      <c r="C19" s="214">
        <f>507*(211.42*6*1.45/12+226.93*6*1.45/12)*1.18</f>
        <v>190129.27147499999</v>
      </c>
      <c r="D19" s="215" t="s">
        <v>408</v>
      </c>
      <c r="E19" s="90"/>
      <c r="I19" s="140" t="s">
        <v>147</v>
      </c>
      <c r="J19" s="143">
        <v>1.23</v>
      </c>
      <c r="K19" s="144">
        <f>(J15/3+J14)/3358</f>
        <v>1.2253920984713123</v>
      </c>
    </row>
    <row r="20" spans="2:11">
      <c r="B20" s="91" t="s">
        <v>9</v>
      </c>
      <c r="C20" s="88">
        <f>C21</f>
        <v>0</v>
      </c>
      <c r="D20" s="89"/>
      <c r="E20" s="90"/>
      <c r="I20" s="145" t="s">
        <v>148</v>
      </c>
      <c r="J20" s="145">
        <v>1.25</v>
      </c>
      <c r="K20" s="144">
        <f>J7/144</f>
        <v>1.25</v>
      </c>
    </row>
    <row r="21" spans="2:11">
      <c r="B21" s="68"/>
      <c r="C21" s="92"/>
      <c r="D21" s="93"/>
      <c r="E21" s="90"/>
      <c r="I21" s="146" t="s">
        <v>149</v>
      </c>
      <c r="J21" s="147"/>
      <c r="K21" s="144">
        <f>J30/1180</f>
        <v>0</v>
      </c>
    </row>
    <row r="22" spans="2:11">
      <c r="B22" s="94"/>
      <c r="C22" s="151"/>
      <c r="D22" s="152"/>
      <c r="E22" s="90"/>
      <c r="I22" s="58" t="s">
        <v>150</v>
      </c>
      <c r="J22" s="58">
        <v>1.45</v>
      </c>
      <c r="K22" s="141"/>
    </row>
    <row r="23" spans="2:11">
      <c r="B23" s="94"/>
      <c r="C23" s="153"/>
      <c r="D23" s="154"/>
      <c r="E23" s="90"/>
      <c r="I23" s="58" t="s">
        <v>151</v>
      </c>
      <c r="K23" s="141"/>
    </row>
    <row r="24" spans="2:11" ht="15.75">
      <c r="B24" s="95" t="s">
        <v>12</v>
      </c>
      <c r="C24" s="1">
        <f>C18+C20</f>
        <v>2121953.0999999996</v>
      </c>
      <c r="D24" s="96"/>
      <c r="E24" s="90"/>
      <c r="I24" s="141" t="s">
        <v>152</v>
      </c>
      <c r="J24" s="141"/>
      <c r="K24" s="144">
        <f>J24/820</f>
        <v>0</v>
      </c>
    </row>
    <row r="25" spans="2:11">
      <c r="B25" s="97" t="s">
        <v>13</v>
      </c>
      <c r="C25" s="1">
        <f>C26+C27+C28+C29+C30+C31+C32</f>
        <v>4770</v>
      </c>
      <c r="D25" s="96"/>
      <c r="E25" s="90"/>
      <c r="I25" s="58" t="s">
        <v>153</v>
      </c>
      <c r="J25" s="58" t="s">
        <v>181</v>
      </c>
      <c r="K25" s="141"/>
    </row>
    <row r="26" spans="2:11">
      <c r="B26" s="68" t="s">
        <v>14</v>
      </c>
      <c r="C26" s="1">
        <f>34.98*12*0</f>
        <v>0</v>
      </c>
      <c r="D26" s="96" t="s">
        <v>15</v>
      </c>
      <c r="E26" s="90"/>
    </row>
    <row r="27" spans="2:11">
      <c r="B27" s="68" t="s">
        <v>16</v>
      </c>
      <c r="C27" s="1">
        <f>137.5*12*0</f>
        <v>0</v>
      </c>
      <c r="D27" s="96" t="s">
        <v>17</v>
      </c>
      <c r="E27" s="90"/>
    </row>
    <row r="28" spans="2:11">
      <c r="B28" s="68" t="s">
        <v>18</v>
      </c>
      <c r="C28" s="1">
        <f>123.75*12</f>
        <v>1485</v>
      </c>
      <c r="D28" s="96" t="s">
        <v>19</v>
      </c>
      <c r="E28" s="90" t="s">
        <v>85</v>
      </c>
    </row>
    <row r="29" spans="2:11">
      <c r="B29" s="68" t="s">
        <v>20</v>
      </c>
      <c r="C29" s="1">
        <f>123.75*12</f>
        <v>1485</v>
      </c>
      <c r="D29" s="96" t="s">
        <v>19</v>
      </c>
      <c r="E29" s="90" t="s">
        <v>85</v>
      </c>
    </row>
    <row r="30" spans="2:11">
      <c r="B30" s="68" t="s">
        <v>66</v>
      </c>
      <c r="C30" s="1">
        <f>150*12</f>
        <v>1800</v>
      </c>
      <c r="D30" s="96" t="s">
        <v>21</v>
      </c>
      <c r="E30" s="90" t="s">
        <v>85</v>
      </c>
    </row>
    <row r="31" spans="2:11">
      <c r="B31" s="68" t="s">
        <v>22</v>
      </c>
      <c r="C31" s="1">
        <f>137.5*12*0</f>
        <v>0</v>
      </c>
      <c r="D31" s="96" t="s">
        <v>17</v>
      </c>
      <c r="E31" s="90"/>
    </row>
    <row r="32" spans="2:11">
      <c r="B32" s="68" t="s">
        <v>23</v>
      </c>
      <c r="C32" s="1">
        <f>150*12*0</f>
        <v>0</v>
      </c>
      <c r="D32" s="96" t="s">
        <v>21</v>
      </c>
      <c r="E32" s="90"/>
    </row>
    <row r="33" spans="2:8">
      <c r="B33" s="97" t="s">
        <v>24</v>
      </c>
      <c r="C33" s="1">
        <f>C34</f>
        <v>0</v>
      </c>
      <c r="D33" s="96"/>
      <c r="E33" s="90"/>
    </row>
    <row r="34" spans="2:8">
      <c r="B34" s="68"/>
      <c r="C34" s="1"/>
      <c r="D34" s="96"/>
      <c r="E34" s="90"/>
    </row>
    <row r="35" spans="2:8" ht="18.75">
      <c r="B35" s="98" t="s">
        <v>26</v>
      </c>
      <c r="C35" s="99">
        <f>C24+C25+C33</f>
        <v>2126723.0999999996</v>
      </c>
      <c r="D35" s="96"/>
      <c r="E35" s="90"/>
    </row>
    <row r="36" spans="2:8" ht="15.75">
      <c r="B36" s="82" t="s">
        <v>27</v>
      </c>
      <c r="C36" s="100" t="s">
        <v>5</v>
      </c>
      <c r="D36" s="101" t="s">
        <v>28</v>
      </c>
      <c r="E36" s="90"/>
    </row>
    <row r="37" spans="2:8" ht="15.75">
      <c r="B37" s="102" t="s">
        <v>29</v>
      </c>
      <c r="C37" s="88"/>
      <c r="D37" s="103"/>
      <c r="E37" s="90"/>
      <c r="H37" s="60"/>
    </row>
    <row r="38" spans="2:8" ht="51">
      <c r="B38" s="104" t="s">
        <v>30</v>
      </c>
      <c r="C38" s="218">
        <f>(1.23*(3565+200)*1.5*1.15*1.083*1.302*3)+(1.23*(3708+200)*1.5*1.15*1.083*1.302*9)+(0.1*2871*12)</f>
        <v>142465.5207520785</v>
      </c>
      <c r="D38" s="219" t="s">
        <v>409</v>
      </c>
      <c r="E38" s="90" t="s">
        <v>86</v>
      </c>
      <c r="H38" s="61"/>
    </row>
    <row r="39" spans="2:8" ht="15.75">
      <c r="B39" s="104" t="s">
        <v>31</v>
      </c>
      <c r="C39" s="187"/>
      <c r="D39" s="188"/>
      <c r="E39" s="90"/>
      <c r="H39" s="61"/>
    </row>
    <row r="40" spans="2:8" ht="38.25">
      <c r="B40" s="104" t="s">
        <v>32</v>
      </c>
      <c r="C40" s="228">
        <f>(1.25*9538.51*3)+(1.25*9921.13*9)+(180*11.48767*12)</f>
        <v>172195.49220000001</v>
      </c>
      <c r="D40" s="231" t="s">
        <v>410</v>
      </c>
      <c r="E40" s="90" t="s">
        <v>86</v>
      </c>
      <c r="H40" s="61"/>
    </row>
    <row r="41" spans="2:8" s="62" customFormat="1" ht="51">
      <c r="B41" s="104" t="s">
        <v>33</v>
      </c>
      <c r="C41" s="220">
        <f>507*(360.84*0.025*3+362.52*0.025*3+382.25*0.025*6)</f>
        <v>56575.876499999998</v>
      </c>
      <c r="D41" s="221" t="s">
        <v>411</v>
      </c>
      <c r="E41" s="86" t="s">
        <v>87</v>
      </c>
      <c r="H41" s="61"/>
    </row>
    <row r="42" spans="2:8" ht="15.75">
      <c r="B42" s="104" t="s">
        <v>34</v>
      </c>
      <c r="C42" s="222">
        <f>(16.86+17.53)*180</f>
        <v>6190.2</v>
      </c>
      <c r="D42" s="223" t="s">
        <v>412</v>
      </c>
      <c r="E42" s="90" t="s">
        <v>88</v>
      </c>
      <c r="H42" s="61"/>
    </row>
    <row r="43" spans="2:8" ht="36.75" customHeight="1">
      <c r="B43" s="104" t="s">
        <v>35</v>
      </c>
      <c r="C43" s="222">
        <f>(49.72+51.71)*2*0</f>
        <v>0</v>
      </c>
      <c r="D43" s="223" t="s">
        <v>220</v>
      </c>
      <c r="E43" s="90"/>
      <c r="H43" s="61"/>
    </row>
    <row r="44" spans="2:8" ht="15.75">
      <c r="B44" s="104" t="s">
        <v>36</v>
      </c>
      <c r="C44" s="164">
        <f>0.25*(1143+2*10)*12</f>
        <v>3489</v>
      </c>
      <c r="D44" s="150" t="s">
        <v>182</v>
      </c>
      <c r="E44" s="90" t="s">
        <v>85</v>
      </c>
      <c r="H44" s="61"/>
    </row>
    <row r="45" spans="2:8" ht="19.5" customHeight="1">
      <c r="B45" s="106" t="s">
        <v>37</v>
      </c>
      <c r="C45" s="164">
        <f>2.34*(1143+2*10)*4</f>
        <v>10885.679999999998</v>
      </c>
      <c r="D45" s="150" t="s">
        <v>183</v>
      </c>
      <c r="E45" s="90" t="s">
        <v>89</v>
      </c>
      <c r="H45" s="61"/>
    </row>
    <row r="46" spans="2:8" ht="25.5">
      <c r="B46" s="115" t="s">
        <v>67</v>
      </c>
      <c r="C46" s="224">
        <f>(700.55*6+728.57*6)</f>
        <v>8574.7199999999993</v>
      </c>
      <c r="D46" s="225" t="s">
        <v>221</v>
      </c>
      <c r="E46" s="90" t="s">
        <v>85</v>
      </c>
      <c r="H46" s="61"/>
    </row>
    <row r="47" spans="2:8" ht="25.5">
      <c r="B47" s="87" t="s">
        <v>41</v>
      </c>
      <c r="C47" s="222">
        <f>((5338.98*1)+(3813.56*11))*2</f>
        <v>94576.28</v>
      </c>
      <c r="D47" s="232" t="s">
        <v>228</v>
      </c>
      <c r="E47" s="90" t="s">
        <v>85</v>
      </c>
      <c r="H47" s="61"/>
    </row>
    <row r="48" spans="2:8" ht="25.5">
      <c r="B48" s="87" t="s">
        <v>38</v>
      </c>
      <c r="C48" s="3">
        <f>4190*2</f>
        <v>8380</v>
      </c>
      <c r="D48" s="210" t="s">
        <v>127</v>
      </c>
      <c r="E48" s="155" t="s">
        <v>159</v>
      </c>
      <c r="H48" s="61"/>
    </row>
    <row r="49" spans="2:8" ht="50.25" customHeight="1">
      <c r="B49" s="87" t="s">
        <v>45</v>
      </c>
      <c r="C49" s="227">
        <f>507*(211.42*6*1.45/12+226.93*6*1.45/12)</f>
        <v>161126.50125</v>
      </c>
      <c r="D49" s="225" t="s">
        <v>413</v>
      </c>
      <c r="E49" s="90" t="s">
        <v>87</v>
      </c>
      <c r="H49" s="61"/>
    </row>
    <row r="50" spans="2:8" ht="25.5">
      <c r="B50" s="87" t="s">
        <v>46</v>
      </c>
      <c r="C50" s="224">
        <f>0*(232.8*6+243.11*6)</f>
        <v>0</v>
      </c>
      <c r="D50" s="228" t="s">
        <v>223</v>
      </c>
      <c r="E50" s="90"/>
      <c r="H50" s="61"/>
    </row>
    <row r="51" spans="2:8" ht="15.75">
      <c r="B51" s="108" t="s">
        <v>47</v>
      </c>
      <c r="C51" s="109">
        <f>C38+C39+C40+C41+C42+C43+C44+C45+C46+C47+C48+C49+C50</f>
        <v>664459.27070207847</v>
      </c>
      <c r="D51" s="110"/>
      <c r="E51" s="90"/>
    </row>
    <row r="52" spans="2:8">
      <c r="B52" s="104" t="s">
        <v>48</v>
      </c>
      <c r="C52" s="1"/>
      <c r="D52" s="96"/>
      <c r="E52" s="90"/>
    </row>
    <row r="53" spans="2:8" s="63" customFormat="1" ht="51">
      <c r="B53" s="112" t="s">
        <v>49</v>
      </c>
      <c r="C53" s="222">
        <f>(19.19*96.4189*3)+(19.19*100.2864*9)+(1.78*(C14+C15)*12)</f>
        <v>204899.084217</v>
      </c>
      <c r="D53" s="229" t="s">
        <v>414</v>
      </c>
      <c r="E53" s="113"/>
    </row>
    <row r="54" spans="2:8">
      <c r="B54" s="106" t="s">
        <v>50</v>
      </c>
      <c r="C54" s="1">
        <f>13.69*1487.8*0</f>
        <v>0</v>
      </c>
      <c r="D54" s="96" t="s">
        <v>415</v>
      </c>
      <c r="E54" s="90" t="s">
        <v>441</v>
      </c>
    </row>
    <row r="55" spans="2:8" ht="89.25">
      <c r="B55" s="114" t="s">
        <v>120</v>
      </c>
      <c r="C55" s="4">
        <f>17.51*(C14+C15)</f>
        <v>149218.46900000001</v>
      </c>
      <c r="D55" s="96" t="s">
        <v>416</v>
      </c>
      <c r="E55" s="90"/>
    </row>
    <row r="56" spans="2:8" ht="51">
      <c r="B56" s="104" t="s">
        <v>51</v>
      </c>
      <c r="C56" s="222">
        <f>(632.04+251.07/3)*38073/1000</f>
        <v>27249.988289999998</v>
      </c>
      <c r="D56" s="229" t="s">
        <v>417</v>
      </c>
      <c r="E56" s="115" t="s">
        <v>91</v>
      </c>
    </row>
    <row r="57" spans="2:8" ht="51">
      <c r="B57" s="116" t="s">
        <v>52</v>
      </c>
      <c r="C57" s="230">
        <f>((1074.57/12*3*96.4189)+(1074.57/12*9*100.2864))+((1074.57/12*3*96.4189)+(1074.57/12*9*100.2864))/1.302*25%</f>
        <v>127218.44364961292</v>
      </c>
      <c r="D57" s="229" t="s">
        <v>418</v>
      </c>
      <c r="E57" s="90"/>
    </row>
    <row r="58" spans="2:8" ht="15.75">
      <c r="B58" s="117" t="s">
        <v>53</v>
      </c>
      <c r="C58" s="109">
        <f>C53+C54+C55+C56+C57</f>
        <v>508585.98515661294</v>
      </c>
      <c r="D58" s="110"/>
      <c r="E58" s="90"/>
    </row>
    <row r="59" spans="2:8">
      <c r="B59" s="116" t="s">
        <v>54</v>
      </c>
      <c r="C59" s="1"/>
      <c r="D59" s="96"/>
      <c r="E59" s="90"/>
    </row>
    <row r="60" spans="2:8" s="62" customFormat="1" ht="12.75">
      <c r="B60" s="118" t="s">
        <v>55</v>
      </c>
      <c r="C60" s="2">
        <v>0</v>
      </c>
      <c r="D60" s="119"/>
      <c r="E60" s="86"/>
    </row>
    <row r="61" spans="2:8">
      <c r="B61" s="116" t="s">
        <v>56</v>
      </c>
      <c r="C61" s="88">
        <v>0</v>
      </c>
      <c r="D61" s="120"/>
      <c r="E61" s="90"/>
    </row>
    <row r="62" spans="2:8">
      <c r="B62" s="116" t="s">
        <v>57</v>
      </c>
      <c r="C62" s="88"/>
      <c r="D62" s="120"/>
      <c r="E62" s="90"/>
    </row>
    <row r="63" spans="2:8">
      <c r="B63" s="116" t="s">
        <v>58</v>
      </c>
      <c r="C63" s="88"/>
      <c r="D63" s="120"/>
      <c r="E63" s="90"/>
    </row>
    <row r="64" spans="2:8">
      <c r="B64" s="116" t="s">
        <v>59</v>
      </c>
      <c r="C64" s="88"/>
      <c r="D64" s="120"/>
      <c r="E64" s="90"/>
    </row>
    <row r="65" spans="2:8" ht="15.75">
      <c r="B65" s="117" t="s">
        <v>60</v>
      </c>
      <c r="C65" s="121">
        <f>C60+C61</f>
        <v>0</v>
      </c>
      <c r="D65" s="122"/>
      <c r="E65" s="90"/>
    </row>
    <row r="66" spans="2:8">
      <c r="B66" s="123" t="s">
        <v>61</v>
      </c>
      <c r="C66" s="88">
        <f>3.05*(C14+0)</f>
        <v>25991.794999999998</v>
      </c>
      <c r="D66" s="120" t="s">
        <v>419</v>
      </c>
      <c r="E66" s="90"/>
    </row>
    <row r="67" spans="2:8" ht="15.75">
      <c r="B67" s="124" t="s">
        <v>62</v>
      </c>
      <c r="C67" s="125">
        <f>1.49*(C14+0)</f>
        <v>12697.630999999999</v>
      </c>
      <c r="D67" s="126" t="s">
        <v>420</v>
      </c>
      <c r="E67" s="90"/>
      <c r="H67" s="64"/>
    </row>
    <row r="68" spans="2:8">
      <c r="B68" s="68" t="s">
        <v>63</v>
      </c>
      <c r="C68" s="88">
        <f>(C51+C58)*0.341</f>
        <v>400008.43224781379</v>
      </c>
      <c r="D68" s="120" t="s">
        <v>224</v>
      </c>
      <c r="E68" s="90"/>
    </row>
    <row r="69" spans="2:8" ht="38.25">
      <c r="B69" s="68" t="s">
        <v>121</v>
      </c>
      <c r="C69" s="125">
        <f>(C51+C58+C68)*0.132</f>
        <v>207643.08683005869</v>
      </c>
      <c r="D69" s="69" t="s">
        <v>225</v>
      </c>
      <c r="E69" s="90" t="s">
        <v>85</v>
      </c>
    </row>
    <row r="70" spans="2:8" ht="15.75">
      <c r="B70" s="127" t="s">
        <v>122</v>
      </c>
      <c r="C70" s="121">
        <f>C66+C67+C68+C69</f>
        <v>646340.94507787249</v>
      </c>
      <c r="D70" s="122"/>
      <c r="E70" s="90"/>
    </row>
    <row r="71" spans="2:8">
      <c r="B71" s="68" t="s">
        <v>64</v>
      </c>
      <c r="C71" s="88">
        <f>(C51+C58+C65+C70)*3%</f>
        <v>54581.586028096914</v>
      </c>
      <c r="D71" s="120"/>
      <c r="E71" s="90"/>
    </row>
    <row r="72" spans="2:8" ht="15.75">
      <c r="B72" s="128" t="s">
        <v>26</v>
      </c>
      <c r="C72" s="129">
        <f>C51+C58+C65+C70+C71</f>
        <v>1873967.7869646607</v>
      </c>
      <c r="D72" s="130"/>
      <c r="E72" s="90"/>
    </row>
    <row r="73" spans="2:8" ht="15.75">
      <c r="B73" s="128" t="s">
        <v>65</v>
      </c>
      <c r="C73" s="129">
        <f>C72*1.18</f>
        <v>2211281.9886182994</v>
      </c>
      <c r="D73" s="130"/>
      <c r="E73" s="90"/>
    </row>
    <row r="74" spans="2:8" ht="15.75">
      <c r="B74" s="131"/>
      <c r="C74" s="132">
        <f>C35-C73</f>
        <v>-84558.888618299738</v>
      </c>
      <c r="D74" s="133"/>
      <c r="E74" s="90"/>
    </row>
    <row r="75" spans="2:8" ht="30">
      <c r="B75" s="134" t="s">
        <v>123</v>
      </c>
      <c r="C75" s="135">
        <f>C73/(C14+C15)/12</f>
        <v>21.623522811993212</v>
      </c>
      <c r="D75" s="136" t="s">
        <v>129</v>
      </c>
      <c r="E75" s="137"/>
    </row>
    <row r="76" spans="2:8">
      <c r="B76" s="138"/>
      <c r="E76" s="138"/>
    </row>
    <row r="77" spans="2:8" ht="15" customHeight="1">
      <c r="B77" s="802" t="s">
        <v>124</v>
      </c>
      <c r="C77" s="802"/>
      <c r="D77" s="802"/>
      <c r="E77" s="138"/>
    </row>
    <row r="78" spans="2:8" ht="31.5" customHeight="1">
      <c r="B78" s="803" t="s">
        <v>226</v>
      </c>
      <c r="C78" s="803"/>
      <c r="D78" s="803"/>
      <c r="E78" s="803"/>
    </row>
    <row r="79" spans="2:8" ht="39.75" customHeight="1">
      <c r="B79" s="803" t="s">
        <v>227</v>
      </c>
      <c r="C79" s="803"/>
      <c r="D79" s="803"/>
      <c r="E79" s="803"/>
    </row>
    <row r="80" spans="2:8" ht="26.25" customHeight="1">
      <c r="B80" s="157"/>
      <c r="C80" s="158"/>
      <c r="D80" s="159"/>
      <c r="E80" s="138"/>
    </row>
    <row r="81" spans="2:5">
      <c r="B81" s="157"/>
      <c r="C81" s="158"/>
      <c r="D81" s="159"/>
      <c r="E81" s="138"/>
    </row>
    <row r="82" spans="2:5">
      <c r="B82" s="160"/>
      <c r="C82" s="161"/>
      <c r="D82" s="162"/>
      <c r="E82" s="138"/>
    </row>
    <row r="83" spans="2:5">
      <c r="B83" s="797" t="s">
        <v>188</v>
      </c>
      <c r="C83" s="797"/>
      <c r="D83" s="797"/>
    </row>
    <row r="92" spans="2:5" s="65" customFormat="1">
      <c r="B92" s="66"/>
      <c r="C92" s="66"/>
      <c r="D92" s="66"/>
      <c r="E92" s="67"/>
    </row>
    <row r="93" spans="2:5" s="65" customFormat="1">
      <c r="B93" s="66"/>
      <c r="C93" s="66"/>
      <c r="D93" s="66"/>
      <c r="E93" s="67"/>
    </row>
    <row r="94" spans="2:5" s="65" customFormat="1">
      <c r="B94" s="66"/>
      <c r="C94" s="66"/>
      <c r="D94" s="66"/>
      <c r="E94" s="67"/>
    </row>
    <row r="95" spans="2:5" s="65" customFormat="1">
      <c r="B95" s="66"/>
      <c r="C95" s="66"/>
      <c r="D95" s="66"/>
      <c r="E95" s="67"/>
    </row>
    <row r="96" spans="2:5" s="65" customFormat="1">
      <c r="B96" s="66"/>
      <c r="C96" s="66"/>
      <c r="D96" s="66"/>
      <c r="E96" s="67"/>
    </row>
    <row r="97" spans="2:5" s="65" customFormat="1">
      <c r="B97" s="66"/>
      <c r="C97" s="66"/>
      <c r="D97" s="66"/>
      <c r="E97" s="67"/>
    </row>
    <row r="98" spans="2:5" s="65" customFormat="1">
      <c r="B98" s="66"/>
      <c r="C98" s="66"/>
      <c r="D98" s="66"/>
      <c r="E98" s="67"/>
    </row>
    <row r="99" spans="2:5" s="65" customFormat="1">
      <c r="B99" s="66"/>
      <c r="C99" s="66"/>
      <c r="D99" s="66"/>
      <c r="E99" s="67"/>
    </row>
  </sheetData>
  <mergeCells count="6">
    <mergeCell ref="B83:D83"/>
    <mergeCell ref="B77:D77"/>
    <mergeCell ref="B10:E10"/>
    <mergeCell ref="B11:E12"/>
    <mergeCell ref="B78:E78"/>
    <mergeCell ref="B79:E79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F0"/>
  </sheetPr>
  <dimension ref="A1:H98"/>
  <sheetViews>
    <sheetView topLeftCell="A26" workbookViewId="0">
      <selection activeCell="E26" sqref="E1:G1048576"/>
    </sheetView>
  </sheetViews>
  <sheetFormatPr defaultColWidth="9.140625" defaultRowHeight="15"/>
  <cols>
    <col min="1" max="1" width="41.140625" style="66" customWidth="1"/>
    <col min="2" max="2" width="14.85546875" style="66" customWidth="1"/>
    <col min="3" max="3" width="40" style="66" customWidth="1"/>
    <col min="4" max="4" width="17.7109375" style="66" customWidth="1"/>
    <col min="5" max="5" width="4.28515625" style="360" hidden="1" customWidth="1"/>
    <col min="6" max="6" width="27.140625" style="360" hidden="1" customWidth="1"/>
    <col min="7" max="7" width="9.140625" style="360" hidden="1" customWidth="1"/>
    <col min="8" max="16384" width="9.140625" style="360"/>
  </cols>
  <sheetData>
    <row r="1" spans="1:8">
      <c r="C1" s="359" t="s">
        <v>0</v>
      </c>
      <c r="D1" s="193"/>
    </row>
    <row r="2" spans="1:8">
      <c r="C2" s="359" t="s">
        <v>216</v>
      </c>
      <c r="D2" s="193"/>
    </row>
    <row r="3" spans="1:8">
      <c r="C3" s="359" t="s">
        <v>189</v>
      </c>
      <c r="D3" s="193"/>
    </row>
    <row r="4" spans="1:8">
      <c r="C4" s="359"/>
      <c r="D4" s="193"/>
    </row>
    <row r="5" spans="1:8">
      <c r="C5" s="359" t="s">
        <v>217</v>
      </c>
      <c r="D5" s="193"/>
    </row>
    <row r="6" spans="1:8">
      <c r="C6" s="193"/>
    </row>
    <row r="7" spans="1:8">
      <c r="C7" s="193"/>
    </row>
    <row r="8" spans="1:8" ht="37.5" customHeight="1">
      <c r="A8" s="801" t="s">
        <v>218</v>
      </c>
      <c r="B8" s="801"/>
      <c r="C8" s="801"/>
      <c r="D8" s="801"/>
    </row>
    <row r="9" spans="1:8" ht="15" customHeight="1">
      <c r="A9" s="801" t="s">
        <v>115</v>
      </c>
      <c r="B9" s="801"/>
      <c r="C9" s="801"/>
      <c r="D9" s="801"/>
    </row>
    <row r="10" spans="1:8" ht="15" customHeight="1">
      <c r="A10" s="801"/>
      <c r="B10" s="801"/>
      <c r="C10" s="801"/>
      <c r="D10" s="801"/>
    </row>
    <row r="11" spans="1:8">
      <c r="A11" s="237"/>
      <c r="B11" s="237"/>
      <c r="C11" s="237"/>
    </row>
    <row r="12" spans="1:8">
      <c r="A12" s="160" t="s">
        <v>2</v>
      </c>
      <c r="B12" s="238">
        <v>11770.3</v>
      </c>
      <c r="C12" s="463" t="s">
        <v>72</v>
      </c>
    </row>
    <row r="13" spans="1:8" s="363" customFormat="1" ht="30" customHeight="1">
      <c r="A13" s="464" t="s">
        <v>3</v>
      </c>
      <c r="B13" s="240">
        <f>132.7+183.2+149.1</f>
        <v>465</v>
      </c>
      <c r="C13" s="315"/>
    </row>
    <row r="14" spans="1:8" s="363" customFormat="1">
      <c r="A14" s="464"/>
      <c r="B14" s="240"/>
      <c r="C14" s="241"/>
      <c r="D14" s="242"/>
    </row>
    <row r="15" spans="1:8" ht="28.5">
      <c r="A15" s="243" t="s">
        <v>4</v>
      </c>
      <c r="B15" s="244" t="s">
        <v>5</v>
      </c>
      <c r="C15" s="245" t="s">
        <v>661</v>
      </c>
      <c r="D15" s="84" t="s">
        <v>84</v>
      </c>
      <c r="F15" s="253" t="s">
        <v>132</v>
      </c>
      <c r="G15" s="254">
        <v>22.97</v>
      </c>
      <c r="H15" s="360">
        <v>16.91</v>
      </c>
    </row>
    <row r="16" spans="1:8" ht="30">
      <c r="A16" s="249" t="s">
        <v>7</v>
      </c>
      <c r="B16" s="766">
        <f>(9406.6*22.97*12)+(2363.7*16.91*12)</f>
        <v>3072477.2280000001</v>
      </c>
      <c r="C16" s="755" t="s">
        <v>1012</v>
      </c>
      <c r="D16" s="317" t="s">
        <v>85</v>
      </c>
      <c r="F16" s="259" t="s">
        <v>134</v>
      </c>
      <c r="G16" s="260">
        <v>11770.3</v>
      </c>
    </row>
    <row r="17" spans="1:7">
      <c r="A17" s="261" t="s">
        <v>9</v>
      </c>
      <c r="B17" s="318">
        <f>B18+B20+B22</f>
        <v>128172.59999999999</v>
      </c>
      <c r="C17" s="319"/>
      <c r="D17" s="320"/>
      <c r="F17" s="259" t="s">
        <v>135</v>
      </c>
      <c r="G17" s="260">
        <v>213</v>
      </c>
    </row>
    <row r="18" spans="1:7">
      <c r="A18" s="264" t="s">
        <v>439</v>
      </c>
      <c r="B18" s="265">
        <f>B19</f>
        <v>36577.428</v>
      </c>
      <c r="C18" s="587"/>
      <c r="D18" s="320"/>
      <c r="F18" s="259" t="s">
        <v>136</v>
      </c>
      <c r="G18" s="260">
        <v>540</v>
      </c>
    </row>
    <row r="19" spans="1:7">
      <c r="A19" s="267" t="s">
        <v>10</v>
      </c>
      <c r="B19" s="330">
        <f>132.7*22.97*12</f>
        <v>36577.428</v>
      </c>
      <c r="C19" s="462" t="s">
        <v>1013</v>
      </c>
      <c r="D19" s="320" t="s">
        <v>85</v>
      </c>
      <c r="F19" s="247" t="s">
        <v>459</v>
      </c>
      <c r="G19" s="248">
        <v>0</v>
      </c>
    </row>
    <row r="20" spans="1:7">
      <c r="A20" s="264" t="s">
        <v>440</v>
      </c>
      <c r="B20" s="265">
        <f>B21</f>
        <v>50497.247999999992</v>
      </c>
      <c r="C20" s="587"/>
      <c r="D20" s="320"/>
      <c r="F20" s="259" t="s">
        <v>139</v>
      </c>
      <c r="G20" s="260">
        <v>2198.1999999999998</v>
      </c>
    </row>
    <row r="21" spans="1:7">
      <c r="A21" s="267" t="s">
        <v>10</v>
      </c>
      <c r="B21" s="330">
        <f>183.2*22.97*12</f>
        <v>50497.247999999992</v>
      </c>
      <c r="C21" s="462" t="s">
        <v>1014</v>
      </c>
      <c r="D21" s="320" t="s">
        <v>85</v>
      </c>
      <c r="F21" s="259" t="s">
        <v>140</v>
      </c>
      <c r="G21" s="260">
        <v>6</v>
      </c>
    </row>
    <row r="22" spans="1:7">
      <c r="A22" s="264" t="s">
        <v>214</v>
      </c>
      <c r="B22" s="265">
        <f>B23</f>
        <v>41097.923999999999</v>
      </c>
      <c r="C22" s="587"/>
      <c r="D22" s="320"/>
      <c r="F22" s="259" t="s">
        <v>141</v>
      </c>
      <c r="G22" s="260">
        <v>5</v>
      </c>
    </row>
    <row r="23" spans="1:7">
      <c r="A23" s="267" t="s">
        <v>10</v>
      </c>
      <c r="B23" s="330">
        <f>149.1*22.97*12</f>
        <v>41097.923999999999</v>
      </c>
      <c r="C23" s="462" t="s">
        <v>1015</v>
      </c>
      <c r="D23" s="320" t="s">
        <v>85</v>
      </c>
      <c r="F23" s="259" t="s">
        <v>142</v>
      </c>
      <c r="G23" s="260">
        <v>5298.8</v>
      </c>
    </row>
    <row r="24" spans="1:7">
      <c r="A24" s="321" t="s">
        <v>12</v>
      </c>
      <c r="B24" s="322">
        <f>B16+B17</f>
        <v>3200649.8280000002</v>
      </c>
      <c r="C24" s="274"/>
      <c r="D24" s="320"/>
      <c r="F24" s="259" t="s">
        <v>143</v>
      </c>
      <c r="G24" s="277">
        <v>6653.6</v>
      </c>
    </row>
    <row r="25" spans="1:7" ht="30">
      <c r="A25" s="275" t="s">
        <v>13</v>
      </c>
      <c r="B25" s="276">
        <f>B26+B27+B28+B29+B30+B31+B32</f>
        <v>5189.76</v>
      </c>
      <c r="C25" s="274"/>
      <c r="D25" s="320"/>
      <c r="F25" s="259" t="s">
        <v>144</v>
      </c>
      <c r="G25" s="278">
        <v>0</v>
      </c>
    </row>
    <row r="26" spans="1:7">
      <c r="A26" s="264" t="s">
        <v>14</v>
      </c>
      <c r="B26" s="276">
        <f>34.98*12</f>
        <v>419.76</v>
      </c>
      <c r="C26" s="274" t="s">
        <v>15</v>
      </c>
      <c r="D26" s="320" t="s">
        <v>85</v>
      </c>
      <c r="F26" s="259" t="s">
        <v>145</v>
      </c>
      <c r="G26" s="278">
        <v>1329.86</v>
      </c>
    </row>
    <row r="27" spans="1:7">
      <c r="A27" s="264" t="s">
        <v>16</v>
      </c>
      <c r="B27" s="276">
        <f>137.5*12*0</f>
        <v>0</v>
      </c>
      <c r="C27" s="274" t="s">
        <v>17</v>
      </c>
      <c r="D27" s="320"/>
      <c r="F27" s="259" t="s">
        <v>460</v>
      </c>
      <c r="G27" s="278">
        <v>25.83</v>
      </c>
    </row>
    <row r="28" spans="1:7">
      <c r="A28" s="264" t="s">
        <v>18</v>
      </c>
      <c r="B28" s="276">
        <f>123.75*12</f>
        <v>1485</v>
      </c>
      <c r="C28" s="274" t="s">
        <v>19</v>
      </c>
      <c r="D28" s="320" t="s">
        <v>85</v>
      </c>
      <c r="F28" s="259" t="s">
        <v>461</v>
      </c>
      <c r="G28" s="278">
        <f>(G23/3+G24)/3358</f>
        <v>2.5074052015088348</v>
      </c>
    </row>
    <row r="29" spans="1:7">
      <c r="A29" s="264" t="s">
        <v>20</v>
      </c>
      <c r="B29" s="276">
        <f>123.75*12</f>
        <v>1485</v>
      </c>
      <c r="C29" s="274" t="s">
        <v>19</v>
      </c>
      <c r="D29" s="320" t="s">
        <v>85</v>
      </c>
      <c r="F29" s="259" t="s">
        <v>148</v>
      </c>
      <c r="G29" s="278">
        <f>G17/144</f>
        <v>1.4791666666666667</v>
      </c>
    </row>
    <row r="30" spans="1:7">
      <c r="A30" s="264" t="s">
        <v>66</v>
      </c>
      <c r="B30" s="276">
        <f>150*12</f>
        <v>1800</v>
      </c>
      <c r="C30" s="274" t="s">
        <v>21</v>
      </c>
      <c r="D30" s="320" t="s">
        <v>85</v>
      </c>
      <c r="F30" s="259" t="s">
        <v>149</v>
      </c>
      <c r="G30" s="279">
        <f>(675+1533.1)/1020</f>
        <v>2.1648039215686272</v>
      </c>
    </row>
    <row r="31" spans="1:7">
      <c r="A31" s="264" t="s">
        <v>22</v>
      </c>
      <c r="B31" s="276">
        <f>137.5*12*0</f>
        <v>0</v>
      </c>
      <c r="C31" s="274" t="s">
        <v>17</v>
      </c>
      <c r="D31" s="320"/>
      <c r="F31" s="247" t="s">
        <v>151</v>
      </c>
      <c r="G31" s="279">
        <v>36</v>
      </c>
    </row>
    <row r="32" spans="1:7">
      <c r="A32" s="264" t="s">
        <v>23</v>
      </c>
      <c r="B32" s="276">
        <f>150*12*0</f>
        <v>0</v>
      </c>
      <c r="C32" s="274" t="s">
        <v>21</v>
      </c>
      <c r="D32" s="320"/>
      <c r="F32" s="247" t="s">
        <v>462</v>
      </c>
      <c r="G32" s="279">
        <f>50+1252.1</f>
        <v>1302.0999999999999</v>
      </c>
    </row>
    <row r="33" spans="1:7">
      <c r="A33" s="275" t="s">
        <v>24</v>
      </c>
      <c r="B33" s="276">
        <v>0</v>
      </c>
      <c r="C33" s="274"/>
      <c r="D33" s="320"/>
      <c r="F33" s="285" t="s">
        <v>463</v>
      </c>
      <c r="G33" s="286">
        <f>50+1252.1</f>
        <v>1302.0999999999999</v>
      </c>
    </row>
    <row r="34" spans="1:7">
      <c r="A34" s="292" t="s">
        <v>26</v>
      </c>
      <c r="B34" s="322">
        <f>B24+B25+B33</f>
        <v>3205839.588</v>
      </c>
      <c r="C34" s="274"/>
      <c r="D34" s="320"/>
      <c r="F34" s="289" t="s">
        <v>464</v>
      </c>
      <c r="G34" s="290">
        <v>60524</v>
      </c>
    </row>
    <row r="35" spans="1:7" ht="28.5">
      <c r="A35" s="244" t="s">
        <v>27</v>
      </c>
      <c r="B35" s="281" t="s">
        <v>5</v>
      </c>
      <c r="C35" s="282" t="s">
        <v>28</v>
      </c>
      <c r="D35" s="320"/>
      <c r="F35" s="247" t="s">
        <v>465</v>
      </c>
      <c r="G35" s="279">
        <v>5</v>
      </c>
    </row>
    <row r="36" spans="1:7">
      <c r="A36" s="323" t="s">
        <v>29</v>
      </c>
      <c r="B36" s="262"/>
      <c r="C36" s="284"/>
      <c r="D36" s="320"/>
      <c r="F36" s="247" t="s">
        <v>467</v>
      </c>
      <c r="G36" s="279">
        <v>4</v>
      </c>
    </row>
    <row r="37" spans="1:7" ht="51">
      <c r="A37" s="104" t="s">
        <v>30</v>
      </c>
      <c r="B37" s="750">
        <f>(G28*(3708+200)*1.5*1.15*1.083*1.302*6)+(G28*(3856+200)*1.5*1.15*1.083*1.302*6)+(0.104*G23*12)</f>
        <v>298043.78023149702</v>
      </c>
      <c r="C37" s="497" t="s">
        <v>1026</v>
      </c>
      <c r="D37" s="579" t="s">
        <v>86</v>
      </c>
    </row>
    <row r="38" spans="1:7">
      <c r="A38" s="104" t="s">
        <v>31</v>
      </c>
      <c r="B38" s="601">
        <f>(G30*9921.13*6)+(G30*10317.11*6)</f>
        <v>262870.9279058823</v>
      </c>
      <c r="C38" s="198" t="s">
        <v>1027</v>
      </c>
      <c r="D38" s="579"/>
    </row>
    <row r="39" spans="1:7" ht="38.25">
      <c r="A39" s="104" t="s">
        <v>32</v>
      </c>
      <c r="B39" s="175">
        <f>(G29*9921.13*6)+(G29*10317.11*6)+(G17*10.95538*12)*G22</f>
        <v>319624.13639999996</v>
      </c>
      <c r="C39" s="198" t="s">
        <v>1017</v>
      </c>
      <c r="D39" s="579"/>
    </row>
    <row r="40" spans="1:7">
      <c r="A40" s="104" t="s">
        <v>34</v>
      </c>
      <c r="B40" s="580">
        <f>(16.06+16.7)*G17</f>
        <v>6977.8799999999992</v>
      </c>
      <c r="C40" s="476" t="s">
        <v>1018</v>
      </c>
      <c r="D40" s="579" t="s">
        <v>88</v>
      </c>
    </row>
    <row r="41" spans="1:7" ht="25.5">
      <c r="A41" s="104" t="s">
        <v>35</v>
      </c>
      <c r="B41" s="580">
        <f>(49.72+51.71)*2*G25*0</f>
        <v>0</v>
      </c>
      <c r="C41" s="476" t="s">
        <v>469</v>
      </c>
      <c r="D41" s="579"/>
    </row>
    <row r="42" spans="1:7">
      <c r="A42" s="104" t="s">
        <v>36</v>
      </c>
      <c r="B42" s="580">
        <f>0.25*G32*12</f>
        <v>3906.2999999999997</v>
      </c>
      <c r="C42" s="476" t="s">
        <v>1032</v>
      </c>
      <c r="D42" s="579" t="s">
        <v>85</v>
      </c>
    </row>
    <row r="43" spans="1:7">
      <c r="A43" s="106" t="s">
        <v>37</v>
      </c>
      <c r="B43" s="580">
        <f>2.34*G32*4</f>
        <v>12187.655999999999</v>
      </c>
      <c r="C43" s="476" t="s">
        <v>1033</v>
      </c>
      <c r="D43" s="579" t="s">
        <v>89</v>
      </c>
    </row>
    <row r="44" spans="1:7" ht="25.5">
      <c r="A44" s="501" t="s">
        <v>67</v>
      </c>
      <c r="B44" s="482">
        <f>(635.59*6+661.01*6)*G35</f>
        <v>38898</v>
      </c>
      <c r="C44" s="476" t="s">
        <v>844</v>
      </c>
      <c r="D44" s="579" t="s">
        <v>85</v>
      </c>
    </row>
    <row r="45" spans="1:7" ht="34.5" customHeight="1">
      <c r="A45" s="501" t="s">
        <v>190</v>
      </c>
      <c r="B45" s="4">
        <f>(466.1*6+484.74*6)*G19</f>
        <v>0</v>
      </c>
      <c r="C45" s="476" t="s">
        <v>845</v>
      </c>
      <c r="D45" s="579" t="s">
        <v>85</v>
      </c>
    </row>
    <row r="46" spans="1:7">
      <c r="A46" s="476" t="s">
        <v>529</v>
      </c>
      <c r="B46" s="483">
        <f>3750*12*G21</f>
        <v>270000</v>
      </c>
      <c r="C46" s="501" t="s">
        <v>846</v>
      </c>
      <c r="D46" s="504" t="s">
        <v>85</v>
      </c>
    </row>
    <row r="47" spans="1:7">
      <c r="A47" s="476" t="s">
        <v>530</v>
      </c>
      <c r="B47" s="581">
        <f>4190*G21</f>
        <v>25140</v>
      </c>
      <c r="C47" s="501" t="s">
        <v>127</v>
      </c>
      <c r="D47" s="751" t="s">
        <v>532</v>
      </c>
    </row>
    <row r="48" spans="1:7" ht="38.25" customHeight="1">
      <c r="A48" s="506" t="s">
        <v>533</v>
      </c>
      <c r="B48" s="483">
        <f>1965.47*12</f>
        <v>23585.64</v>
      </c>
      <c r="C48" s="752" t="s">
        <v>1016</v>
      </c>
      <c r="D48" s="505" t="s">
        <v>159</v>
      </c>
    </row>
    <row r="49" spans="1:4">
      <c r="A49" s="611" t="s">
        <v>47</v>
      </c>
      <c r="B49" s="586">
        <f>SUM(B37:B48)</f>
        <v>1261234.3205373792</v>
      </c>
      <c r="C49" s="753"/>
      <c r="D49" s="579"/>
    </row>
    <row r="50" spans="1:4">
      <c r="A50" s="104" t="s">
        <v>48</v>
      </c>
      <c r="B50" s="1"/>
      <c r="C50" s="753"/>
      <c r="D50" s="579"/>
    </row>
    <row r="51" spans="1:4" s="429" customFormat="1" ht="38.25">
      <c r="A51" s="112" t="s">
        <v>49</v>
      </c>
      <c r="B51" s="580">
        <f>(G27*100.2134*6)+(G27*104.2268*6)+(1.71*(B13+B12)*12)</f>
        <v>282752.49819599994</v>
      </c>
      <c r="C51" s="511" t="s">
        <v>1019</v>
      </c>
      <c r="D51" s="512"/>
    </row>
    <row r="52" spans="1:4">
      <c r="A52" s="106" t="s">
        <v>50</v>
      </c>
      <c r="B52" s="1">
        <f>15.92*G25*0</f>
        <v>0</v>
      </c>
      <c r="C52" s="511" t="s">
        <v>1020</v>
      </c>
      <c r="D52" s="579" t="s">
        <v>90</v>
      </c>
    </row>
    <row r="53" spans="1:4" ht="102">
      <c r="A53" s="583" t="s">
        <v>120</v>
      </c>
      <c r="B53" s="199">
        <f>17.51*(B13+B12)</f>
        <v>214240.103</v>
      </c>
      <c r="C53" s="754" t="s">
        <v>1021</v>
      </c>
      <c r="D53" s="579"/>
    </row>
    <row r="54" spans="1:4" ht="51">
      <c r="A54" s="104" t="s">
        <v>51</v>
      </c>
      <c r="B54" s="478">
        <f>(654.11+263.56/3)*G34/1000</f>
        <v>44906.588786666667</v>
      </c>
      <c r="C54" s="511" t="s">
        <v>1024</v>
      </c>
      <c r="D54" s="501" t="s">
        <v>91</v>
      </c>
    </row>
    <row r="55" spans="1:4" ht="51">
      <c r="A55" s="116" t="s">
        <v>52</v>
      </c>
      <c r="B55" s="584">
        <f>((G26/12*6*100.2134)+(G26/12*6*104.2268))+((G26/12*6*100.2134)+(G26/12*6*104.2268))/1.302*25%</f>
        <v>162040.26976395695</v>
      </c>
      <c r="C55" s="511" t="s">
        <v>1025</v>
      </c>
      <c r="D55" s="579"/>
    </row>
    <row r="56" spans="1:4">
      <c r="A56" s="302" t="s">
        <v>53</v>
      </c>
      <c r="B56" s="322">
        <f>B51+B52+B53+B54+B55</f>
        <v>703939.45974662364</v>
      </c>
      <c r="C56" s="274"/>
      <c r="D56" s="320"/>
    </row>
    <row r="57" spans="1:4">
      <c r="A57" s="296" t="s">
        <v>54</v>
      </c>
      <c r="B57" s="276"/>
      <c r="C57" s="274"/>
      <c r="D57" s="320"/>
    </row>
    <row r="58" spans="1:4" s="415" customFormat="1">
      <c r="A58" s="298" t="s">
        <v>55</v>
      </c>
      <c r="B58" s="299">
        <v>0</v>
      </c>
      <c r="C58" s="300"/>
      <c r="D58" s="317"/>
    </row>
    <row r="59" spans="1:4">
      <c r="A59" s="296" t="s">
        <v>56</v>
      </c>
      <c r="B59" s="262">
        <v>0</v>
      </c>
      <c r="C59" s="301"/>
      <c r="D59" s="320"/>
    </row>
    <row r="60" spans="1:4">
      <c r="A60" s="296" t="s">
        <v>57</v>
      </c>
      <c r="B60" s="262"/>
      <c r="C60" s="301"/>
      <c r="D60" s="320"/>
    </row>
    <row r="61" spans="1:4">
      <c r="A61" s="296" t="s">
        <v>58</v>
      </c>
      <c r="B61" s="262"/>
      <c r="C61" s="301"/>
      <c r="D61" s="320"/>
    </row>
    <row r="62" spans="1:4">
      <c r="A62" s="296" t="s">
        <v>59</v>
      </c>
      <c r="B62" s="262"/>
      <c r="C62" s="301"/>
      <c r="D62" s="320"/>
    </row>
    <row r="63" spans="1:4">
      <c r="A63" s="302" t="s">
        <v>60</v>
      </c>
      <c r="B63" s="307">
        <f>B58+B59</f>
        <v>0</v>
      </c>
      <c r="C63" s="301"/>
      <c r="D63" s="320"/>
    </row>
    <row r="64" spans="1:4">
      <c r="A64" s="303" t="s">
        <v>61</v>
      </c>
      <c r="B64" s="88">
        <f>3.051*(B12+B13)</f>
        <v>37329.900300000001</v>
      </c>
      <c r="C64" s="120" t="s">
        <v>1022</v>
      </c>
      <c r="D64" s="320"/>
    </row>
    <row r="65" spans="1:4">
      <c r="A65" s="460" t="s">
        <v>62</v>
      </c>
      <c r="B65" s="125">
        <f>1.54*(B12+B13)</f>
        <v>18842.362000000001</v>
      </c>
      <c r="C65" s="177" t="s">
        <v>1023</v>
      </c>
      <c r="D65" s="320"/>
    </row>
    <row r="66" spans="1:4">
      <c r="A66" s="264" t="s">
        <v>63</v>
      </c>
      <c r="B66" s="88">
        <f>(B49+B56)*0.348</f>
        <v>683880.47553883295</v>
      </c>
      <c r="C66" s="120" t="s">
        <v>514</v>
      </c>
      <c r="D66" s="320"/>
    </row>
    <row r="67" spans="1:4" ht="45">
      <c r="A67" s="264" t="s">
        <v>121</v>
      </c>
      <c r="B67" s="304">
        <f>(B49+B56+B66)*0.132</f>
        <v>349675.16176861437</v>
      </c>
      <c r="C67" s="338" t="s">
        <v>225</v>
      </c>
      <c r="D67" s="320" t="s">
        <v>85</v>
      </c>
    </row>
    <row r="68" spans="1:4">
      <c r="A68" s="127" t="s">
        <v>122</v>
      </c>
      <c r="B68" s="307">
        <f>B64+B65+B66+B67</f>
        <v>1089727.8996074472</v>
      </c>
      <c r="C68" s="301"/>
      <c r="D68" s="320"/>
    </row>
    <row r="69" spans="1:4">
      <c r="A69" s="264" t="s">
        <v>64</v>
      </c>
      <c r="B69" s="262">
        <f>(B49+B56+B63+B68)*3%</f>
        <v>91647.050396743507</v>
      </c>
      <c r="C69" s="301"/>
      <c r="D69" s="320"/>
    </row>
    <row r="70" spans="1:4">
      <c r="A70" s="127" t="s">
        <v>26</v>
      </c>
      <c r="B70" s="357">
        <f>B49+B56+B63+B68+B69</f>
        <v>3146548.730288194</v>
      </c>
      <c r="C70" s="306"/>
      <c r="D70" s="320"/>
    </row>
    <row r="71" spans="1:4">
      <c r="A71" s="127" t="s">
        <v>65</v>
      </c>
      <c r="B71" s="357">
        <f>B70*1.2</f>
        <v>3775858.4763458325</v>
      </c>
      <c r="C71" s="306"/>
      <c r="D71" s="320"/>
    </row>
    <row r="72" spans="1:4">
      <c r="A72" s="303"/>
      <c r="B72" s="307">
        <f>B34-B71</f>
        <v>-570018.88834583247</v>
      </c>
      <c r="C72" s="308"/>
      <c r="D72" s="320"/>
    </row>
    <row r="73" spans="1:4" ht="30">
      <c r="A73" s="134" t="s">
        <v>123</v>
      </c>
      <c r="B73" s="135">
        <f>B71/(B12+B13)/12</f>
        <v>25.716972450926367</v>
      </c>
      <c r="C73" s="136" t="s">
        <v>442</v>
      </c>
      <c r="D73" s="339"/>
    </row>
    <row r="74" spans="1:4">
      <c r="A74" s="765"/>
      <c r="D74" s="765"/>
    </row>
    <row r="75" spans="1:4" ht="15" customHeight="1">
      <c r="A75" s="799" t="s">
        <v>124</v>
      </c>
      <c r="B75" s="799"/>
      <c r="C75" s="799"/>
      <c r="D75" s="765"/>
    </row>
    <row r="76" spans="1:4" ht="30.75" customHeight="1">
      <c r="A76" s="800" t="s">
        <v>518</v>
      </c>
      <c r="B76" s="800"/>
      <c r="C76" s="800"/>
      <c r="D76" s="594"/>
    </row>
    <row r="77" spans="1:4" ht="30.75" customHeight="1">
      <c r="A77" s="800" t="s">
        <v>519</v>
      </c>
      <c r="B77" s="800"/>
      <c r="C77" s="800"/>
      <c r="D77" s="594"/>
    </row>
    <row r="78" spans="1:4" ht="26.25" customHeight="1">
      <c r="A78" s="160"/>
      <c r="B78" s="453"/>
      <c r="C78" s="193"/>
      <c r="D78" s="765"/>
    </row>
    <row r="79" spans="1:4">
      <c r="A79" s="797" t="s">
        <v>505</v>
      </c>
      <c r="B79" s="797"/>
      <c r="C79" s="797"/>
      <c r="D79" s="765"/>
    </row>
    <row r="81" spans="1:3">
      <c r="A81" s="193"/>
      <c r="B81" s="193"/>
      <c r="C81" s="193"/>
    </row>
    <row r="82" spans="1:3">
      <c r="A82" s="193"/>
      <c r="B82" s="193"/>
      <c r="C82" s="193"/>
    </row>
    <row r="91" spans="1:3" s="66" customFormat="1"/>
    <row r="92" spans="1:3" s="66" customFormat="1"/>
    <row r="93" spans="1:3" s="66" customFormat="1"/>
    <row r="94" spans="1:3" s="66" customFormat="1"/>
    <row r="95" spans="1:3" s="66" customFormat="1"/>
    <row r="96" spans="1:3" s="66" customFormat="1"/>
    <row r="97" s="66" customFormat="1"/>
    <row r="98" s="66" customFormat="1"/>
  </sheetData>
  <mergeCells count="6">
    <mergeCell ref="A79:C79"/>
    <mergeCell ref="A8:D8"/>
    <mergeCell ref="A9:D10"/>
    <mergeCell ref="A75:C75"/>
    <mergeCell ref="A76:C76"/>
    <mergeCell ref="A77:C77"/>
  </mergeCells>
  <pageMargins left="0.51181102362204722" right="0.11811023622047244" top="0.15748031496062992" bottom="0.15748031496062992" header="0.31496062992125984" footer="0.31496062992125984"/>
  <pageSetup paperSize="9" scale="85" orientation="portrait" verticalDpi="0" r:id="rId1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F0"/>
  </sheetPr>
  <dimension ref="A1:G100"/>
  <sheetViews>
    <sheetView workbookViewId="0">
      <selection activeCell="E12" sqref="E1:H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42578125" style="67" customWidth="1"/>
    <col min="5" max="5" width="4.85546875" style="58" hidden="1" customWidth="1"/>
    <col min="6" max="6" width="26.7109375" style="58" hidden="1" customWidth="1"/>
    <col min="7" max="7" width="11.42578125" style="58" hidden="1" customWidth="1"/>
    <col min="8" max="8" width="0" style="58" hidden="1" customWidth="1"/>
    <col min="9" max="16384" width="9.140625" style="58"/>
  </cols>
  <sheetData>
    <row r="1" spans="1:7" ht="15.75">
      <c r="C1" s="163" t="s">
        <v>0</v>
      </c>
      <c r="D1" s="194"/>
    </row>
    <row r="2" spans="1:7" ht="15.75">
      <c r="C2" s="163" t="s">
        <v>216</v>
      </c>
      <c r="D2" s="194"/>
    </row>
    <row r="3" spans="1:7" ht="15.75">
      <c r="C3" s="163" t="s">
        <v>189</v>
      </c>
      <c r="D3" s="194"/>
    </row>
    <row r="4" spans="1:7" ht="15.75">
      <c r="C4" s="163"/>
      <c r="D4" s="194"/>
    </row>
    <row r="5" spans="1:7" ht="15.75">
      <c r="C5" s="163" t="s">
        <v>217</v>
      </c>
      <c r="D5" s="194"/>
    </row>
    <row r="6" spans="1:7" ht="15.75">
      <c r="C6" s="70"/>
    </row>
    <row r="7" spans="1:7" ht="15.75">
      <c r="C7" s="70"/>
    </row>
    <row r="8" spans="1:7" ht="15.75">
      <c r="A8" s="798" t="s">
        <v>478</v>
      </c>
      <c r="B8" s="798"/>
      <c r="C8" s="798"/>
      <c r="D8" s="798"/>
    </row>
    <row r="9" spans="1:7">
      <c r="A9" s="798" t="s">
        <v>1077</v>
      </c>
      <c r="B9" s="798"/>
      <c r="C9" s="798"/>
      <c r="D9" s="798"/>
    </row>
    <row r="10" spans="1:7">
      <c r="A10" s="798"/>
      <c r="B10" s="798"/>
      <c r="C10" s="798"/>
      <c r="D10" s="798"/>
    </row>
    <row r="11" spans="1:7" ht="15.75">
      <c r="A11" s="467"/>
      <c r="B11" s="467"/>
      <c r="C11" s="467"/>
    </row>
    <row r="12" spans="1:7" ht="15.75">
      <c r="A12" s="74" t="s">
        <v>2</v>
      </c>
      <c r="B12" s="75">
        <v>2848.9</v>
      </c>
      <c r="C12" s="768" t="s">
        <v>72</v>
      </c>
    </row>
    <row r="13" spans="1:7" s="59" customFormat="1" ht="15.75">
      <c r="A13" s="767" t="s">
        <v>3</v>
      </c>
      <c r="B13" s="78">
        <f>298.8+102.25+480.7+408.5+102.25</f>
        <v>1392.5</v>
      </c>
      <c r="C13" s="769"/>
      <c r="D13" s="80"/>
    </row>
    <row r="14" spans="1:7" s="59" customFormat="1" ht="15.75">
      <c r="A14" s="767"/>
      <c r="B14" s="78"/>
      <c r="C14" s="79"/>
      <c r="D14" s="80"/>
    </row>
    <row r="15" spans="1:7" ht="31.5">
      <c r="A15" s="770" t="s">
        <v>4</v>
      </c>
      <c r="B15" s="493" t="s">
        <v>5</v>
      </c>
      <c r="C15" s="771" t="s">
        <v>661</v>
      </c>
      <c r="D15" s="562" t="s">
        <v>84</v>
      </c>
      <c r="F15" s="698" t="s">
        <v>132</v>
      </c>
      <c r="G15" s="576">
        <v>14.88</v>
      </c>
    </row>
    <row r="16" spans="1:7">
      <c r="A16" s="772" t="s">
        <v>7</v>
      </c>
      <c r="B16" s="475">
        <f>B12*14.88*12</f>
        <v>508699.58400000003</v>
      </c>
      <c r="C16" s="481" t="s">
        <v>1084</v>
      </c>
      <c r="D16" s="477" t="s">
        <v>85</v>
      </c>
      <c r="F16" s="577" t="s">
        <v>134</v>
      </c>
      <c r="G16" s="577">
        <v>2848.9</v>
      </c>
    </row>
    <row r="17" spans="1:7">
      <c r="A17" s="535" t="s">
        <v>9</v>
      </c>
      <c r="B17" s="487">
        <f>B18+B20+B22+B24+B26</f>
        <v>248644.80000000005</v>
      </c>
      <c r="C17" s="773"/>
      <c r="D17" s="579"/>
      <c r="F17" s="577" t="s">
        <v>135</v>
      </c>
      <c r="G17" s="577">
        <v>64</v>
      </c>
    </row>
    <row r="18" spans="1:7">
      <c r="A18" s="488" t="s">
        <v>1078</v>
      </c>
      <c r="B18" s="92">
        <f>B19</f>
        <v>53353.728000000003</v>
      </c>
      <c r="C18" s="93"/>
      <c r="D18" s="579"/>
      <c r="F18" s="703" t="s">
        <v>836</v>
      </c>
      <c r="G18" s="387">
        <v>175</v>
      </c>
    </row>
    <row r="19" spans="1:7">
      <c r="A19" s="774" t="s">
        <v>10</v>
      </c>
      <c r="B19" s="475">
        <f>298.8*14.88*12</f>
        <v>53353.728000000003</v>
      </c>
      <c r="C19" s="481" t="s">
        <v>1085</v>
      </c>
      <c r="D19" s="579" t="s">
        <v>85</v>
      </c>
      <c r="F19" s="577" t="s">
        <v>136</v>
      </c>
      <c r="G19" s="577">
        <v>175</v>
      </c>
    </row>
    <row r="20" spans="1:7">
      <c r="A20" s="488" t="s">
        <v>1079</v>
      </c>
      <c r="B20" s="92">
        <f>B21</f>
        <v>18257.760000000002</v>
      </c>
      <c r="C20" s="93"/>
      <c r="D20" s="579"/>
      <c r="F20" s="577" t="s">
        <v>139</v>
      </c>
      <c r="G20" s="577">
        <v>876</v>
      </c>
    </row>
    <row r="21" spans="1:7">
      <c r="A21" s="774" t="s">
        <v>10</v>
      </c>
      <c r="B21" s="475">
        <f>102.25*14.88*12</f>
        <v>18257.760000000002</v>
      </c>
      <c r="C21" s="481" t="s">
        <v>1086</v>
      </c>
      <c r="D21" s="579" t="s">
        <v>85</v>
      </c>
      <c r="F21" s="577" t="s">
        <v>140</v>
      </c>
      <c r="G21" s="577">
        <v>0</v>
      </c>
    </row>
    <row r="22" spans="1:7">
      <c r="A22" s="488" t="s">
        <v>1080</v>
      </c>
      <c r="B22" s="92">
        <f>B23</f>
        <v>85833.792000000001</v>
      </c>
      <c r="C22" s="93"/>
      <c r="D22" s="579"/>
      <c r="F22" s="577" t="s">
        <v>141</v>
      </c>
      <c r="G22" s="577">
        <v>0</v>
      </c>
    </row>
    <row r="23" spans="1:7">
      <c r="A23" s="774" t="s">
        <v>10</v>
      </c>
      <c r="B23" s="475">
        <f>480.7*14.88*12</f>
        <v>85833.792000000001</v>
      </c>
      <c r="C23" s="481" t="s">
        <v>1087</v>
      </c>
      <c r="D23" s="579" t="s">
        <v>85</v>
      </c>
      <c r="F23" s="577" t="s">
        <v>142</v>
      </c>
      <c r="G23" s="577">
        <v>1568</v>
      </c>
    </row>
    <row r="24" spans="1:7">
      <c r="A24" s="488" t="s">
        <v>1081</v>
      </c>
      <c r="B24" s="92">
        <f>B25</f>
        <v>72941.760000000009</v>
      </c>
      <c r="C24" s="93"/>
      <c r="D24" s="579"/>
      <c r="F24" s="577" t="s">
        <v>143</v>
      </c>
      <c r="G24" s="706">
        <v>3954.8</v>
      </c>
    </row>
    <row r="25" spans="1:7">
      <c r="A25" s="774" t="s">
        <v>10</v>
      </c>
      <c r="B25" s="475">
        <f>408.5*14.88*12</f>
        <v>72941.760000000009</v>
      </c>
      <c r="C25" s="481" t="s">
        <v>1088</v>
      </c>
      <c r="D25" s="579" t="s">
        <v>85</v>
      </c>
      <c r="F25" s="577" t="s">
        <v>144</v>
      </c>
      <c r="G25" s="577">
        <v>0</v>
      </c>
    </row>
    <row r="26" spans="1:7">
      <c r="A26" s="488" t="s">
        <v>1082</v>
      </c>
      <c r="B26" s="92">
        <f>B27</f>
        <v>18257.760000000002</v>
      </c>
      <c r="C26" s="93"/>
      <c r="D26" s="579"/>
      <c r="F26" s="577" t="s">
        <v>145</v>
      </c>
      <c r="G26" s="741">
        <v>411.09</v>
      </c>
    </row>
    <row r="27" spans="1:7">
      <c r="A27" s="774" t="s">
        <v>10</v>
      </c>
      <c r="B27" s="475">
        <f>102.25*14.88*12</f>
        <v>18257.760000000002</v>
      </c>
      <c r="C27" s="481" t="s">
        <v>1086</v>
      </c>
      <c r="D27" s="579" t="s">
        <v>85</v>
      </c>
      <c r="F27" s="577" t="s">
        <v>460</v>
      </c>
      <c r="G27" s="577">
        <v>10.08</v>
      </c>
    </row>
    <row r="28" spans="1:7" ht="15.75">
      <c r="A28" s="95" t="s">
        <v>12</v>
      </c>
      <c r="B28" s="796">
        <f>B16+B17</f>
        <v>757344.38400000008</v>
      </c>
      <c r="C28" s="776"/>
      <c r="D28" s="579"/>
      <c r="F28" s="577" t="s">
        <v>461</v>
      </c>
      <c r="G28" s="379">
        <f>(G23/3+G24)/3358</f>
        <v>1.3333730395076435</v>
      </c>
    </row>
    <row r="29" spans="1:7">
      <c r="A29" s="486" t="s">
        <v>13</v>
      </c>
      <c r="B29" s="775">
        <f>B30+B31+B32+B33+B34+B35+B36</f>
        <v>5189.76</v>
      </c>
      <c r="C29" s="776"/>
      <c r="D29" s="579"/>
      <c r="F29" s="577" t="s">
        <v>148</v>
      </c>
      <c r="G29" s="707">
        <v>0</v>
      </c>
    </row>
    <row r="30" spans="1:7">
      <c r="A30" s="488" t="s">
        <v>14</v>
      </c>
      <c r="B30" s="775">
        <f>34.98*12</f>
        <v>419.76</v>
      </c>
      <c r="C30" s="776" t="s">
        <v>15</v>
      </c>
      <c r="D30" s="579" t="s">
        <v>85</v>
      </c>
      <c r="F30" s="577" t="s">
        <v>149</v>
      </c>
      <c r="G30" s="708">
        <v>0</v>
      </c>
    </row>
    <row r="31" spans="1:7">
      <c r="A31" s="488" t="s">
        <v>16</v>
      </c>
      <c r="B31" s="775">
        <f>137.5*12*0</f>
        <v>0</v>
      </c>
      <c r="C31" s="776" t="s">
        <v>17</v>
      </c>
      <c r="D31" s="579"/>
      <c r="F31" s="578" t="s">
        <v>838</v>
      </c>
      <c r="G31" s="578">
        <v>2</v>
      </c>
    </row>
    <row r="32" spans="1:7">
      <c r="A32" s="488" t="s">
        <v>18</v>
      </c>
      <c r="B32" s="775">
        <f>123.75*12</f>
        <v>1485</v>
      </c>
      <c r="C32" s="776" t="s">
        <v>19</v>
      </c>
      <c r="D32" s="579" t="s">
        <v>85</v>
      </c>
      <c r="F32" s="387" t="s">
        <v>151</v>
      </c>
      <c r="G32" s="387">
        <v>5</v>
      </c>
    </row>
    <row r="33" spans="1:7">
      <c r="A33" s="488" t="s">
        <v>20</v>
      </c>
      <c r="B33" s="775">
        <f>123.75*12</f>
        <v>1485</v>
      </c>
      <c r="C33" s="776" t="s">
        <v>19</v>
      </c>
      <c r="D33" s="579" t="s">
        <v>85</v>
      </c>
      <c r="F33" s="387" t="s">
        <v>462</v>
      </c>
      <c r="G33" s="387">
        <v>856</v>
      </c>
    </row>
    <row r="34" spans="1:7">
      <c r="A34" s="488" t="s">
        <v>66</v>
      </c>
      <c r="B34" s="775">
        <f>150*12</f>
        <v>1800</v>
      </c>
      <c r="C34" s="776" t="s">
        <v>21</v>
      </c>
      <c r="D34" s="579" t="s">
        <v>85</v>
      </c>
      <c r="F34" s="405" t="s">
        <v>464</v>
      </c>
      <c r="G34" s="387">
        <v>13227</v>
      </c>
    </row>
    <row r="35" spans="1:7">
      <c r="A35" s="488" t="s">
        <v>22</v>
      </c>
      <c r="B35" s="775">
        <f>137.5*12*0</f>
        <v>0</v>
      </c>
      <c r="C35" s="776" t="s">
        <v>17</v>
      </c>
      <c r="D35" s="579"/>
      <c r="F35" s="578" t="s">
        <v>491</v>
      </c>
      <c r="G35" s="578">
        <v>0</v>
      </c>
    </row>
    <row r="36" spans="1:7">
      <c r="A36" s="488" t="s">
        <v>23</v>
      </c>
      <c r="B36" s="775">
        <f>150*12*0</f>
        <v>0</v>
      </c>
      <c r="C36" s="776" t="s">
        <v>21</v>
      </c>
      <c r="D36" s="579"/>
      <c r="F36" s="387" t="s">
        <v>490</v>
      </c>
      <c r="G36" s="387">
        <v>1</v>
      </c>
    </row>
    <row r="37" spans="1:7">
      <c r="A37" s="486" t="s">
        <v>24</v>
      </c>
      <c r="B37" s="775">
        <v>0</v>
      </c>
      <c r="C37" s="776"/>
      <c r="D37" s="579"/>
    </row>
    <row r="38" spans="1:7" ht="18.75">
      <c r="A38" s="491" t="s">
        <v>26</v>
      </c>
      <c r="B38" s="777">
        <f>B28+B29+B37</f>
        <v>762534.14400000009</v>
      </c>
      <c r="C38" s="776"/>
      <c r="D38" s="579"/>
    </row>
    <row r="39" spans="1:7" ht="15.75">
      <c r="A39" s="493" t="s">
        <v>27</v>
      </c>
      <c r="B39" s="778" t="s">
        <v>5</v>
      </c>
      <c r="C39" s="779" t="s">
        <v>28</v>
      </c>
      <c r="D39" s="579"/>
    </row>
    <row r="40" spans="1:7">
      <c r="A40" s="494" t="s">
        <v>29</v>
      </c>
      <c r="B40" s="487"/>
      <c r="C40" s="495"/>
      <c r="D40" s="579"/>
    </row>
    <row r="41" spans="1:7" ht="75">
      <c r="A41" s="496" t="s">
        <v>30</v>
      </c>
      <c r="B41" s="410">
        <f>(G28*(3708+200)*1.5*1.15*1.083*1.302*6)+G28*((3708+200)*1.5*1.15*1.083*1.302*6)+(0.104*G23*12)</f>
        <v>154052.24002205592</v>
      </c>
      <c r="C41" s="341" t="s">
        <v>1090</v>
      </c>
      <c r="D41" s="377" t="s">
        <v>86</v>
      </c>
    </row>
    <row r="42" spans="1:7" ht="30">
      <c r="A42" s="409" t="s">
        <v>31</v>
      </c>
      <c r="B42" s="342">
        <v>0</v>
      </c>
      <c r="C42" s="343" t="s">
        <v>509</v>
      </c>
      <c r="D42" s="377"/>
    </row>
    <row r="43" spans="1:7" ht="45">
      <c r="A43" s="409" t="s">
        <v>32</v>
      </c>
      <c r="B43" s="498">
        <v>0</v>
      </c>
      <c r="C43" s="344" t="s">
        <v>781</v>
      </c>
      <c r="D43" s="377"/>
    </row>
    <row r="44" spans="1:7">
      <c r="A44" s="409" t="s">
        <v>34</v>
      </c>
      <c r="B44" s="413">
        <f>(16.06+16.7)*G17</f>
        <v>2096.64</v>
      </c>
      <c r="C44" s="414" t="s">
        <v>782</v>
      </c>
      <c r="D44" s="377" t="s">
        <v>88</v>
      </c>
    </row>
    <row r="45" spans="1:7" ht="30">
      <c r="A45" s="409" t="s">
        <v>35</v>
      </c>
      <c r="B45" s="413">
        <v>0</v>
      </c>
      <c r="C45" s="414" t="s">
        <v>469</v>
      </c>
      <c r="D45" s="377"/>
    </row>
    <row r="46" spans="1:7">
      <c r="A46" s="409" t="s">
        <v>36</v>
      </c>
      <c r="B46" s="347">
        <f>0.25*G33*12</f>
        <v>2568</v>
      </c>
      <c r="C46" s="348" t="s">
        <v>1091</v>
      </c>
      <c r="D46" s="377" t="s">
        <v>85</v>
      </c>
    </row>
    <row r="47" spans="1:7">
      <c r="A47" s="416" t="s">
        <v>37</v>
      </c>
      <c r="B47" s="413">
        <f>2.34*G33*4</f>
        <v>8012.16</v>
      </c>
      <c r="C47" s="385" t="s">
        <v>1092</v>
      </c>
      <c r="D47" s="377" t="s">
        <v>89</v>
      </c>
    </row>
    <row r="48" spans="1:7">
      <c r="A48" s="417" t="s">
        <v>158</v>
      </c>
      <c r="B48" s="413">
        <f>350.04*12</f>
        <v>4200.4800000000005</v>
      </c>
      <c r="C48" s="385" t="s">
        <v>1089</v>
      </c>
      <c r="D48" s="377"/>
    </row>
    <row r="49" spans="1:4" ht="45">
      <c r="A49" s="417" t="s">
        <v>67</v>
      </c>
      <c r="B49" s="381">
        <f>(635.59*6+661.01*6)*G36</f>
        <v>7779.6</v>
      </c>
      <c r="C49" s="385" t="s">
        <v>496</v>
      </c>
      <c r="D49" s="377" t="s">
        <v>85</v>
      </c>
    </row>
    <row r="50" spans="1:4" ht="15.75">
      <c r="A50" s="507" t="s">
        <v>47</v>
      </c>
      <c r="B50" s="492">
        <f>SUM(B41:B49)</f>
        <v>178709.12002205595</v>
      </c>
      <c r="C50" s="509"/>
      <c r="D50" s="477"/>
    </row>
    <row r="51" spans="1:4">
      <c r="A51" s="496" t="s">
        <v>48</v>
      </c>
      <c r="B51" s="487"/>
      <c r="C51" s="485"/>
      <c r="D51" s="477"/>
    </row>
    <row r="52" spans="1:4" s="63" customFormat="1" ht="60">
      <c r="A52" s="421" t="s">
        <v>49</v>
      </c>
      <c r="B52" s="413">
        <f>(G27*100.2134*6)+(G27*104.2268)+(1.71*(B13+B12)*12)</f>
        <v>94145.040575999985</v>
      </c>
      <c r="C52" s="422" t="s">
        <v>1093</v>
      </c>
      <c r="D52" s="423"/>
    </row>
    <row r="53" spans="1:4">
      <c r="A53" s="416" t="s">
        <v>50</v>
      </c>
      <c r="B53" s="407">
        <f>15.92*G20</f>
        <v>13945.92</v>
      </c>
      <c r="C53" s="424" t="s">
        <v>1094</v>
      </c>
      <c r="D53" s="425" t="s">
        <v>90</v>
      </c>
    </row>
    <row r="54" spans="1:4" ht="120">
      <c r="A54" s="426" t="s">
        <v>120</v>
      </c>
      <c r="B54" s="427">
        <f>17.51*(B12+B13)</f>
        <v>74266.914000000004</v>
      </c>
      <c r="C54" s="428" t="s">
        <v>1095</v>
      </c>
      <c r="D54" s="377"/>
    </row>
    <row r="55" spans="1:4" ht="63">
      <c r="A55" s="780" t="s">
        <v>51</v>
      </c>
      <c r="B55" s="457">
        <f>(654.11+263.56/3)*G34/1000</f>
        <v>9813.9490100000003</v>
      </c>
      <c r="C55" s="458" t="s">
        <v>1098</v>
      </c>
      <c r="D55" s="459" t="s">
        <v>91</v>
      </c>
    </row>
    <row r="56" spans="1:4" ht="75">
      <c r="A56" s="430" t="s">
        <v>52</v>
      </c>
      <c r="B56" s="431">
        <f>((G26/12*6*100.2134)+(G26/12*6*104.2268))+((G26/12*6*100.2134)+(G26/12*6*104.2268))/1.302*25%</f>
        <v>50090.33619874654</v>
      </c>
      <c r="C56" s="422" t="s">
        <v>1099</v>
      </c>
      <c r="D56" s="377"/>
    </row>
    <row r="57" spans="1:4" ht="15.75">
      <c r="A57" s="515" t="s">
        <v>53</v>
      </c>
      <c r="B57" s="777">
        <f>B52+B53+B54+B55+B56</f>
        <v>242262.15978474653</v>
      </c>
      <c r="C57" s="781"/>
      <c r="D57" s="579"/>
    </row>
    <row r="58" spans="1:4">
      <c r="A58" s="514" t="s">
        <v>54</v>
      </c>
      <c r="B58" s="775"/>
      <c r="C58" s="776"/>
      <c r="D58" s="579"/>
    </row>
    <row r="59" spans="1:4" s="62" customFormat="1" ht="12.75">
      <c r="A59" s="782" t="s">
        <v>55</v>
      </c>
      <c r="B59" s="783">
        <v>0</v>
      </c>
      <c r="C59" s="784"/>
      <c r="D59" s="477"/>
    </row>
    <row r="60" spans="1:4">
      <c r="A60" s="514" t="s">
        <v>56</v>
      </c>
      <c r="B60" s="487">
        <v>0</v>
      </c>
      <c r="C60" s="785"/>
      <c r="D60" s="579"/>
    </row>
    <row r="61" spans="1:4">
      <c r="A61" s="514" t="s">
        <v>57</v>
      </c>
      <c r="B61" s="487"/>
      <c r="C61" s="785"/>
      <c r="D61" s="579"/>
    </row>
    <row r="62" spans="1:4">
      <c r="A62" s="514" t="s">
        <v>58</v>
      </c>
      <c r="B62" s="487"/>
      <c r="C62" s="785"/>
      <c r="D62" s="579"/>
    </row>
    <row r="63" spans="1:4">
      <c r="A63" s="514" t="s">
        <v>59</v>
      </c>
      <c r="B63" s="487"/>
      <c r="C63" s="785"/>
      <c r="D63" s="579"/>
    </row>
    <row r="64" spans="1:4" ht="15.75">
      <c r="A64" s="515" t="s">
        <v>60</v>
      </c>
      <c r="B64" s="508">
        <f>B59+B60</f>
        <v>0</v>
      </c>
      <c r="C64" s="786"/>
      <c r="D64" s="579"/>
    </row>
    <row r="65" spans="1:4" ht="30">
      <c r="A65" s="519" t="s">
        <v>61</v>
      </c>
      <c r="B65" s="407">
        <f>3.051*(B12+B13)</f>
        <v>12940.511399999999</v>
      </c>
      <c r="C65" s="539" t="s">
        <v>1096</v>
      </c>
      <c r="D65" s="579"/>
    </row>
    <row r="66" spans="1:4">
      <c r="A66" s="520" t="s">
        <v>62</v>
      </c>
      <c r="B66" s="787">
        <f>1.54*(B12+B13)</f>
        <v>6531.7559999999994</v>
      </c>
      <c r="C66" s="788" t="s">
        <v>1097</v>
      </c>
      <c r="D66" s="579"/>
    </row>
    <row r="67" spans="1:4">
      <c r="A67" s="488" t="s">
        <v>63</v>
      </c>
      <c r="B67" s="407">
        <f>(B50+B57)*0.348</f>
        <v>146498.00537276728</v>
      </c>
      <c r="C67" s="539" t="s">
        <v>514</v>
      </c>
      <c r="D67" s="579"/>
    </row>
    <row r="68" spans="1:4" ht="38.25">
      <c r="A68" s="488" t="s">
        <v>121</v>
      </c>
      <c r="B68" s="789">
        <f>(B50+B57+B67)*0.132</f>
        <v>74905.94564370322</v>
      </c>
      <c r="C68" s="790" t="s">
        <v>225</v>
      </c>
      <c r="D68" s="579" t="s">
        <v>85</v>
      </c>
    </row>
    <row r="69" spans="1:4" ht="15.75">
      <c r="A69" s="441" t="s">
        <v>122</v>
      </c>
      <c r="B69" s="508">
        <f>B65+B66+B67+B68</f>
        <v>240876.21841647051</v>
      </c>
      <c r="C69" s="791"/>
      <c r="D69" s="579"/>
    </row>
    <row r="70" spans="1:4">
      <c r="A70" s="488" t="s">
        <v>64</v>
      </c>
      <c r="B70" s="487">
        <f>(B50+B57+B64+B69)*3%</f>
        <v>19855.424946698193</v>
      </c>
      <c r="C70" s="792"/>
      <c r="D70" s="579"/>
    </row>
    <row r="71" spans="1:4" ht="15.75">
      <c r="A71" s="522" t="s">
        <v>26</v>
      </c>
      <c r="B71" s="793">
        <f>B50+B57+B64+B69+B70</f>
        <v>681702.92316997133</v>
      </c>
      <c r="C71" s="794"/>
      <c r="D71" s="579"/>
    </row>
    <row r="72" spans="1:4" ht="15.75">
      <c r="A72" s="522" t="s">
        <v>65</v>
      </c>
      <c r="B72" s="793">
        <f>B71*1.2</f>
        <v>818043.50780396559</v>
      </c>
      <c r="C72" s="794"/>
      <c r="D72" s="579"/>
    </row>
    <row r="73" spans="1:4" ht="15.75">
      <c r="A73" s="525"/>
      <c r="B73" s="492">
        <f>B38-B72</f>
        <v>-55509.363803965505</v>
      </c>
      <c r="C73" s="795"/>
      <c r="D73" s="579"/>
    </row>
    <row r="74" spans="1:4" ht="30">
      <c r="A74" s="445" t="s">
        <v>123</v>
      </c>
      <c r="B74" s="585">
        <f>B72/(B12+B13)/12</f>
        <v>16.072592143395372</v>
      </c>
      <c r="C74" s="529" t="s">
        <v>1083</v>
      </c>
      <c r="D74" s="530"/>
    </row>
    <row r="75" spans="1:4">
      <c r="A75" s="138"/>
      <c r="D75" s="138"/>
    </row>
    <row r="76" spans="1:4" ht="15" customHeight="1">
      <c r="A76" s="799" t="s">
        <v>124</v>
      </c>
      <c r="B76" s="799"/>
      <c r="C76" s="799"/>
      <c r="D76" s="591"/>
    </row>
    <row r="77" spans="1:4" ht="15" customHeight="1">
      <c r="A77" s="800" t="s">
        <v>518</v>
      </c>
      <c r="B77" s="800"/>
      <c r="C77" s="800"/>
      <c r="D77" s="800"/>
    </row>
    <row r="78" spans="1:4" ht="15" customHeight="1">
      <c r="A78" s="800" t="s">
        <v>856</v>
      </c>
      <c r="B78" s="800"/>
      <c r="C78" s="800"/>
      <c r="D78" s="800"/>
    </row>
    <row r="79" spans="1:4">
      <c r="A79" s="157"/>
      <c r="B79" s="158"/>
      <c r="C79" s="159"/>
      <c r="D79" s="591"/>
    </row>
    <row r="80" spans="1:4">
      <c r="A80" s="160"/>
      <c r="B80" s="161"/>
      <c r="C80" s="162"/>
      <c r="D80" s="591"/>
    </row>
    <row r="81" spans="1:4">
      <c r="A81" s="797" t="s">
        <v>890</v>
      </c>
      <c r="B81" s="797"/>
      <c r="C81" s="797"/>
      <c r="D81" s="591"/>
    </row>
    <row r="82" spans="1:4">
      <c r="A82" s="797"/>
      <c r="B82" s="797"/>
      <c r="C82" s="797"/>
      <c r="D82" s="66"/>
    </row>
    <row r="83" spans="1:4">
      <c r="D83" s="66"/>
    </row>
    <row r="84" spans="1:4">
      <c r="A84" s="193"/>
      <c r="B84" s="193"/>
      <c r="C84" s="193"/>
      <c r="D84" s="66"/>
    </row>
    <row r="93" spans="1:4" s="65" customFormat="1">
      <c r="A93" s="66"/>
      <c r="B93" s="66"/>
      <c r="C93" s="66"/>
      <c r="D93" s="67"/>
    </row>
    <row r="94" spans="1:4" s="65" customFormat="1">
      <c r="A94" s="66"/>
      <c r="B94" s="66"/>
      <c r="C94" s="66"/>
      <c r="D94" s="67"/>
    </row>
    <row r="95" spans="1:4" s="65" customFormat="1">
      <c r="A95" s="66"/>
      <c r="B95" s="66"/>
      <c r="C95" s="66"/>
      <c r="D95" s="67"/>
    </row>
    <row r="96" spans="1:4" s="65" customFormat="1">
      <c r="A96" s="66"/>
      <c r="B96" s="66"/>
      <c r="C96" s="66"/>
      <c r="D96" s="67"/>
    </row>
    <row r="97" spans="1:4" s="65" customFormat="1">
      <c r="A97" s="66"/>
      <c r="B97" s="66"/>
      <c r="C97" s="66"/>
      <c r="D97" s="67"/>
    </row>
    <row r="98" spans="1:4" s="65" customFormat="1">
      <c r="A98" s="66"/>
      <c r="B98" s="66"/>
      <c r="C98" s="66"/>
      <c r="D98" s="67"/>
    </row>
    <row r="99" spans="1:4" s="65" customFormat="1">
      <c r="A99" s="66"/>
      <c r="B99" s="66"/>
      <c r="C99" s="66"/>
      <c r="D99" s="67"/>
    </row>
    <row r="100" spans="1:4" s="65" customFormat="1">
      <c r="A100" s="66"/>
      <c r="B100" s="66"/>
      <c r="C100" s="66"/>
      <c r="D100" s="67"/>
    </row>
  </sheetData>
  <mergeCells count="7">
    <mergeCell ref="A82:C82"/>
    <mergeCell ref="A8:D8"/>
    <mergeCell ref="A9:D10"/>
    <mergeCell ref="A76:C76"/>
    <mergeCell ref="A77:D77"/>
    <mergeCell ref="A78:D78"/>
    <mergeCell ref="A81:C81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F0"/>
  </sheetPr>
  <dimension ref="A1:G91"/>
  <sheetViews>
    <sheetView topLeftCell="A28" zoomScale="60" zoomScaleNormal="60" workbookViewId="0">
      <selection activeCell="E28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43.140625" style="66" customWidth="1"/>
    <col min="4" max="4" width="18.42578125" style="66" customWidth="1"/>
    <col min="5" max="5" width="4.140625" style="58" hidden="1" customWidth="1"/>
    <col min="6" max="6" width="26.5703125" style="58" hidden="1" customWidth="1"/>
    <col min="7" max="7" width="14" style="58" hidden="1" customWidth="1"/>
    <col min="8" max="16384" width="9.140625" style="58"/>
  </cols>
  <sheetData>
    <row r="1" spans="1:4">
      <c r="A1" s="166"/>
    </row>
    <row r="3" spans="1:4">
      <c r="C3" s="159" t="s">
        <v>0</v>
      </c>
    </row>
    <row r="4" spans="1:4">
      <c r="C4" s="159" t="s">
        <v>216</v>
      </c>
    </row>
    <row r="5" spans="1:4">
      <c r="C5" s="159" t="s">
        <v>189</v>
      </c>
    </row>
    <row r="6" spans="1:4">
      <c r="C6" s="159"/>
    </row>
    <row r="7" spans="1:4">
      <c r="C7" s="159" t="s">
        <v>217</v>
      </c>
    </row>
    <row r="8" spans="1:4">
      <c r="C8" s="193"/>
    </row>
    <row r="9" spans="1:4">
      <c r="C9" s="193"/>
    </row>
    <row r="10" spans="1:4">
      <c r="A10" s="801" t="s">
        <v>478</v>
      </c>
      <c r="B10" s="801"/>
      <c r="C10" s="801"/>
      <c r="D10" s="801"/>
    </row>
    <row r="11" spans="1:4">
      <c r="A11" s="801" t="s">
        <v>184</v>
      </c>
      <c r="B11" s="801"/>
      <c r="C11" s="801"/>
      <c r="D11" s="801"/>
    </row>
    <row r="12" spans="1:4">
      <c r="A12" s="801"/>
      <c r="B12" s="801"/>
      <c r="C12" s="801"/>
      <c r="D12" s="801"/>
    </row>
    <row r="13" spans="1:4">
      <c r="A13" s="237"/>
      <c r="B13" s="237"/>
      <c r="C13" s="237"/>
    </row>
    <row r="14" spans="1:4">
      <c r="A14" s="160" t="s">
        <v>2</v>
      </c>
      <c r="B14" s="238">
        <f>G19</f>
        <v>3573.6</v>
      </c>
      <c r="C14" s="236" t="s">
        <v>72</v>
      </c>
    </row>
    <row r="15" spans="1:4" s="59" customFormat="1">
      <c r="A15" s="313" t="s">
        <v>3</v>
      </c>
      <c r="B15" s="240">
        <v>0</v>
      </c>
      <c r="C15" s="315"/>
      <c r="D15" s="242"/>
    </row>
    <row r="16" spans="1:4" s="59" customFormat="1">
      <c r="A16" s="313"/>
      <c r="B16" s="240"/>
      <c r="C16" s="241"/>
      <c r="D16" s="242"/>
    </row>
    <row r="17" spans="1:7" ht="28.5">
      <c r="A17" s="243" t="s">
        <v>4</v>
      </c>
      <c r="B17" s="244" t="s">
        <v>5</v>
      </c>
      <c r="C17" s="245" t="s">
        <v>661</v>
      </c>
      <c r="D17" s="84" t="s">
        <v>84</v>
      </c>
      <c r="F17" s="247" t="s">
        <v>457</v>
      </c>
      <c r="G17" s="248">
        <v>174</v>
      </c>
    </row>
    <row r="18" spans="1:7">
      <c r="A18" s="249" t="s">
        <v>7</v>
      </c>
      <c r="B18" s="316">
        <f>G19*G18*12</f>
        <v>620519.90399999998</v>
      </c>
      <c r="C18" s="462" t="s">
        <v>485</v>
      </c>
      <c r="D18" s="317" t="s">
        <v>85</v>
      </c>
      <c r="F18" s="253" t="s">
        <v>132</v>
      </c>
      <c r="G18" s="254">
        <v>14.47</v>
      </c>
    </row>
    <row r="19" spans="1:7">
      <c r="A19" s="261" t="s">
        <v>9</v>
      </c>
      <c r="B19" s="318">
        <f>B20</f>
        <v>0</v>
      </c>
      <c r="C19" s="319"/>
      <c r="D19" s="320"/>
      <c r="F19" s="259" t="s">
        <v>134</v>
      </c>
      <c r="G19" s="260">
        <v>3573.6</v>
      </c>
    </row>
    <row r="20" spans="1:7">
      <c r="A20" s="267"/>
      <c r="B20" s="270"/>
      <c r="C20" s="271"/>
      <c r="D20" s="320"/>
      <c r="F20" s="259" t="s">
        <v>135</v>
      </c>
      <c r="G20" s="260">
        <v>80</v>
      </c>
    </row>
    <row r="21" spans="1:7">
      <c r="A21" s="321" t="s">
        <v>12</v>
      </c>
      <c r="B21" s="322">
        <f>B18+B19</f>
        <v>620519.90399999998</v>
      </c>
      <c r="C21" s="274"/>
      <c r="D21" s="320"/>
      <c r="F21" s="259" t="s">
        <v>136</v>
      </c>
      <c r="G21" s="260">
        <v>186</v>
      </c>
    </row>
    <row r="22" spans="1:7" ht="30">
      <c r="A22" s="275" t="s">
        <v>13</v>
      </c>
      <c r="B22" s="276">
        <f>B23+B24+B25+B26+B27+B28+B29</f>
        <v>4709.76</v>
      </c>
      <c r="C22" s="274"/>
      <c r="D22" s="320"/>
      <c r="F22" s="247" t="s">
        <v>459</v>
      </c>
      <c r="G22" s="248">
        <v>0</v>
      </c>
    </row>
    <row r="23" spans="1:7">
      <c r="A23" s="264" t="s">
        <v>14</v>
      </c>
      <c r="B23" s="276">
        <f>34.98*12</f>
        <v>419.76</v>
      </c>
      <c r="C23" s="274" t="s">
        <v>15</v>
      </c>
      <c r="D23" s="320" t="s">
        <v>85</v>
      </c>
      <c r="F23" s="259" t="s">
        <v>139</v>
      </c>
      <c r="G23" s="260">
        <v>873</v>
      </c>
    </row>
    <row r="24" spans="1:7">
      <c r="A24" s="264" t="s">
        <v>16</v>
      </c>
      <c r="B24" s="276">
        <f>137.5*10*0</f>
        <v>0</v>
      </c>
      <c r="C24" s="274" t="s">
        <v>17</v>
      </c>
      <c r="D24" s="320"/>
      <c r="F24" s="259" t="s">
        <v>140</v>
      </c>
      <c r="G24" s="260">
        <v>0</v>
      </c>
    </row>
    <row r="25" spans="1:7">
      <c r="A25" s="264" t="s">
        <v>18</v>
      </c>
      <c r="B25" s="276">
        <f>103.75*12</f>
        <v>1245</v>
      </c>
      <c r="C25" s="274" t="s">
        <v>19</v>
      </c>
      <c r="D25" s="320" t="s">
        <v>85</v>
      </c>
      <c r="F25" s="259" t="s">
        <v>141</v>
      </c>
      <c r="G25" s="260">
        <v>0</v>
      </c>
    </row>
    <row r="26" spans="1:7">
      <c r="A26" s="264" t="s">
        <v>20</v>
      </c>
      <c r="B26" s="276">
        <f>103.75*12</f>
        <v>1245</v>
      </c>
      <c r="C26" s="274" t="s">
        <v>19</v>
      </c>
      <c r="D26" s="320" t="s">
        <v>85</v>
      </c>
      <c r="F26" s="259" t="s">
        <v>142</v>
      </c>
      <c r="G26" s="260">
        <v>1352</v>
      </c>
    </row>
    <row r="27" spans="1:7">
      <c r="A27" s="264" t="s">
        <v>66</v>
      </c>
      <c r="B27" s="276">
        <f>150*12</f>
        <v>1800</v>
      </c>
      <c r="C27" s="274" t="s">
        <v>21</v>
      </c>
      <c r="D27" s="320" t="s">
        <v>85</v>
      </c>
      <c r="F27" s="259" t="s">
        <v>143</v>
      </c>
      <c r="G27" s="277">
        <v>6173</v>
      </c>
    </row>
    <row r="28" spans="1:7">
      <c r="A28" s="264" t="s">
        <v>22</v>
      </c>
      <c r="B28" s="276">
        <f>137.5*10*0</f>
        <v>0</v>
      </c>
      <c r="C28" s="274" t="s">
        <v>17</v>
      </c>
      <c r="D28" s="320"/>
      <c r="F28" s="259" t="s">
        <v>144</v>
      </c>
      <c r="G28" s="278">
        <v>0</v>
      </c>
    </row>
    <row r="29" spans="1:7">
      <c r="A29" s="264" t="s">
        <v>23</v>
      </c>
      <c r="B29" s="276">
        <f>150*10*0</f>
        <v>0</v>
      </c>
      <c r="C29" s="274" t="s">
        <v>21</v>
      </c>
      <c r="D29" s="320"/>
      <c r="F29" s="259" t="s">
        <v>145</v>
      </c>
      <c r="G29" s="356">
        <v>497.64</v>
      </c>
    </row>
    <row r="30" spans="1:7">
      <c r="A30" s="275" t="s">
        <v>24</v>
      </c>
      <c r="B30" s="276">
        <f>B31</f>
        <v>0</v>
      </c>
      <c r="C30" s="274"/>
      <c r="D30" s="320"/>
      <c r="F30" s="259" t="s">
        <v>460</v>
      </c>
      <c r="G30" s="278">
        <v>9.98</v>
      </c>
    </row>
    <row r="31" spans="1:7">
      <c r="A31" s="264"/>
      <c r="B31" s="276"/>
      <c r="C31" s="274"/>
      <c r="D31" s="320"/>
      <c r="F31" s="259" t="s">
        <v>461</v>
      </c>
      <c r="G31" s="278">
        <f>(G26/3+G27)/2920</f>
        <v>2.2683789954337898</v>
      </c>
    </row>
    <row r="32" spans="1:7">
      <c r="A32" s="292" t="s">
        <v>26</v>
      </c>
      <c r="B32" s="322">
        <f>B21+B22+B30</f>
        <v>625229.66399999999</v>
      </c>
      <c r="C32" s="274"/>
      <c r="D32" s="320"/>
      <c r="F32" s="259" t="s">
        <v>148</v>
      </c>
      <c r="G32" s="278">
        <v>0</v>
      </c>
    </row>
    <row r="33" spans="1:7">
      <c r="A33" s="244" t="s">
        <v>27</v>
      </c>
      <c r="B33" s="281" t="s">
        <v>5</v>
      </c>
      <c r="C33" s="282" t="s">
        <v>28</v>
      </c>
      <c r="D33" s="320"/>
      <c r="F33" s="259" t="s">
        <v>149</v>
      </c>
      <c r="G33" s="279">
        <f>356/790</f>
        <v>0.45063291139240508</v>
      </c>
    </row>
    <row r="34" spans="1:7">
      <c r="A34" s="323" t="s">
        <v>29</v>
      </c>
      <c r="B34" s="262"/>
      <c r="C34" s="284"/>
      <c r="D34" s="320"/>
      <c r="F34" s="247" t="s">
        <v>151</v>
      </c>
      <c r="G34" s="279">
        <v>5</v>
      </c>
    </row>
    <row r="35" spans="1:7" ht="60">
      <c r="A35" s="287" t="s">
        <v>30</v>
      </c>
      <c r="B35" s="340">
        <f>(G31*(3708+200)*1.5*1.15*1.083*1.302*6)+G31*((3708+200)*1.5*1.15*1.083*1.302*6)+(0.104*G26*12)</f>
        <v>260437.05773092023</v>
      </c>
      <c r="C35" s="341" t="s">
        <v>521</v>
      </c>
      <c r="D35" s="288" t="s">
        <v>86</v>
      </c>
      <c r="F35" s="247" t="s">
        <v>462</v>
      </c>
      <c r="G35" s="279">
        <v>722.5</v>
      </c>
    </row>
    <row r="36" spans="1:7" ht="30">
      <c r="A36" s="287" t="s">
        <v>31</v>
      </c>
      <c r="B36" s="342">
        <f>(G33*9921.13*6)+(G33*10317.11*6)</f>
        <v>54720.102075949369</v>
      </c>
      <c r="C36" s="343" t="s">
        <v>479</v>
      </c>
      <c r="D36" s="258"/>
      <c r="F36" s="289" t="s">
        <v>464</v>
      </c>
      <c r="G36" s="290">
        <v>14256</v>
      </c>
    </row>
    <row r="37" spans="1:7" ht="45">
      <c r="A37" s="287" t="s">
        <v>32</v>
      </c>
      <c r="B37" s="455">
        <f>(G32*9921.13*6)+(G32*10317.11*6)+(G20*10.95538*12)*G25</f>
        <v>0</v>
      </c>
      <c r="C37" s="343" t="s">
        <v>506</v>
      </c>
      <c r="D37" s="377"/>
      <c r="F37" s="247" t="s">
        <v>465</v>
      </c>
      <c r="G37" s="279">
        <v>1</v>
      </c>
    </row>
    <row r="38" spans="1:7">
      <c r="A38" s="287" t="s">
        <v>34</v>
      </c>
      <c r="B38" s="345">
        <f>(16.06+16.7)*G20</f>
        <v>2620.7999999999997</v>
      </c>
      <c r="C38" s="346" t="s">
        <v>468</v>
      </c>
      <c r="D38" s="258" t="s">
        <v>88</v>
      </c>
      <c r="F38" s="247" t="s">
        <v>467</v>
      </c>
      <c r="G38" s="279">
        <v>2</v>
      </c>
    </row>
    <row r="39" spans="1:7" ht="30">
      <c r="A39" s="287" t="s">
        <v>35</v>
      </c>
      <c r="B39" s="345">
        <f>(49.72+51.71)*2*G28</f>
        <v>0</v>
      </c>
      <c r="C39" s="346" t="s">
        <v>469</v>
      </c>
      <c r="D39" s="258"/>
    </row>
    <row r="40" spans="1:7">
      <c r="A40" s="287" t="s">
        <v>36</v>
      </c>
      <c r="B40" s="347">
        <f>0.25*G35*12</f>
        <v>2167.5</v>
      </c>
      <c r="C40" s="348" t="s">
        <v>480</v>
      </c>
      <c r="D40" s="258" t="s">
        <v>85</v>
      </c>
    </row>
    <row r="41" spans="1:7">
      <c r="A41" s="291" t="s">
        <v>37</v>
      </c>
      <c r="B41" s="345">
        <f>2.34*G35*4</f>
        <v>6762.5999999999995</v>
      </c>
      <c r="C41" s="251" t="s">
        <v>481</v>
      </c>
      <c r="D41" s="258" t="s">
        <v>89</v>
      </c>
    </row>
    <row r="42" spans="1:7" ht="30">
      <c r="A42" s="255" t="s">
        <v>67</v>
      </c>
      <c r="B42" s="349">
        <f>(635.59*6+661.01*6)*G37</f>
        <v>7779.6</v>
      </c>
      <c r="C42" s="251" t="s">
        <v>476</v>
      </c>
      <c r="D42" s="258" t="s">
        <v>85</v>
      </c>
    </row>
    <row r="43" spans="1:7" ht="30">
      <c r="A43" s="255" t="s">
        <v>190</v>
      </c>
      <c r="B43" s="350">
        <f>(695.13*6+722.94*6)*G22</f>
        <v>0</v>
      </c>
      <c r="C43" s="251" t="s">
        <v>477</v>
      </c>
      <c r="D43" s="252" t="s">
        <v>85</v>
      </c>
    </row>
    <row r="44" spans="1:7">
      <c r="A44" s="255" t="s">
        <v>158</v>
      </c>
      <c r="B44" s="596">
        <f>295.66*12</f>
        <v>3547.92</v>
      </c>
      <c r="C44" s="319" t="s">
        <v>833</v>
      </c>
      <c r="D44" s="252" t="s">
        <v>85</v>
      </c>
    </row>
    <row r="45" spans="1:7">
      <c r="A45" s="292" t="s">
        <v>47</v>
      </c>
      <c r="B45" s="597">
        <f>SUM(B35:B44)</f>
        <v>338035.5798068695</v>
      </c>
      <c r="C45" s="461"/>
      <c r="D45" s="252"/>
    </row>
    <row r="46" spans="1:7">
      <c r="A46" s="287" t="s">
        <v>48</v>
      </c>
      <c r="B46" s="262"/>
      <c r="C46" s="461"/>
      <c r="D46" s="252"/>
    </row>
    <row r="47" spans="1:7" ht="45">
      <c r="A47" s="293" t="s">
        <v>49</v>
      </c>
      <c r="B47" s="256">
        <f>(G30*100.2134*6)+(G30*104.2268*6)+(1.71*(B14+B15)*12)</f>
        <v>85572.151175999999</v>
      </c>
      <c r="C47" s="598" t="s">
        <v>482</v>
      </c>
      <c r="D47" s="294"/>
    </row>
    <row r="48" spans="1:7">
      <c r="A48" s="291" t="s">
        <v>50</v>
      </c>
      <c r="B48" s="276">
        <f>13.69*G23</f>
        <v>11951.369999999999</v>
      </c>
      <c r="C48" s="353" t="s">
        <v>483</v>
      </c>
      <c r="D48" s="258" t="s">
        <v>90</v>
      </c>
    </row>
    <row r="49" spans="1:4" s="328" customFormat="1" ht="120">
      <c r="A49" s="295" t="s">
        <v>120</v>
      </c>
      <c r="B49" s="351">
        <f>17.51*(B14+B15)</f>
        <v>62573.736000000004</v>
      </c>
      <c r="C49" s="274" t="s">
        <v>484</v>
      </c>
      <c r="D49" s="258"/>
    </row>
    <row r="50" spans="1:4" ht="63">
      <c r="A50" s="456" t="s">
        <v>51</v>
      </c>
      <c r="B50" s="457">
        <f>(654.11+263.56/3)*G36/1000</f>
        <v>10577.42928</v>
      </c>
      <c r="C50" s="458" t="s">
        <v>523</v>
      </c>
      <c r="D50" s="459" t="s">
        <v>91</v>
      </c>
    </row>
    <row r="51" spans="1:4" ht="60">
      <c r="A51" s="296" t="s">
        <v>52</v>
      </c>
      <c r="B51" s="354">
        <f>((G29/12*6*100.2134)+(G29/12*6*104.2268))+((G29/12*6*100.2134)+(G29/12*6*104.2268))/1.302*25%</f>
        <v>60636.247308239632</v>
      </c>
      <c r="C51" s="352" t="s">
        <v>522</v>
      </c>
      <c r="D51" s="258"/>
    </row>
    <row r="52" spans="1:4">
      <c r="A52" s="84" t="s">
        <v>53</v>
      </c>
      <c r="B52" s="326">
        <f>SUM(B47:B51)</f>
        <v>231310.93376423963</v>
      </c>
      <c r="C52" s="327"/>
      <c r="D52" s="320"/>
    </row>
    <row r="53" spans="1:4">
      <c r="A53" s="317" t="s">
        <v>54</v>
      </c>
      <c r="B53" s="324"/>
      <c r="C53" s="327"/>
      <c r="D53" s="320"/>
    </row>
    <row r="54" spans="1:4" s="329" customFormat="1">
      <c r="A54" s="317" t="s">
        <v>55</v>
      </c>
      <c r="B54" s="324">
        <v>0</v>
      </c>
      <c r="C54" s="327"/>
      <c r="D54" s="317"/>
    </row>
    <row r="55" spans="1:4">
      <c r="A55" s="317" t="s">
        <v>56</v>
      </c>
      <c r="B55" s="330">
        <v>0</v>
      </c>
      <c r="C55" s="325"/>
      <c r="D55" s="320"/>
    </row>
    <row r="56" spans="1:4">
      <c r="A56" s="317" t="s">
        <v>57</v>
      </c>
      <c r="B56" s="330"/>
      <c r="C56" s="325"/>
      <c r="D56" s="320"/>
    </row>
    <row r="57" spans="1:4">
      <c r="A57" s="317" t="s">
        <v>58</v>
      </c>
      <c r="B57" s="330"/>
      <c r="C57" s="325"/>
      <c r="D57" s="320"/>
    </row>
    <row r="58" spans="1:4">
      <c r="A58" s="317" t="s">
        <v>59</v>
      </c>
      <c r="B58" s="330"/>
      <c r="C58" s="325"/>
      <c r="D58" s="320"/>
    </row>
    <row r="59" spans="1:4">
      <c r="A59" s="84" t="s">
        <v>60</v>
      </c>
      <c r="B59" s="358">
        <f>B54+B55</f>
        <v>0</v>
      </c>
      <c r="C59" s="325"/>
      <c r="D59" s="320"/>
    </row>
    <row r="60" spans="1:4">
      <c r="A60" s="331" t="s">
        <v>61</v>
      </c>
      <c r="B60" s="330">
        <f>3.05*(B14+B15)</f>
        <v>10899.48</v>
      </c>
      <c r="C60" s="325" t="s">
        <v>524</v>
      </c>
      <c r="D60" s="320"/>
    </row>
    <row r="61" spans="1:4">
      <c r="A61" s="332" t="s">
        <v>62</v>
      </c>
      <c r="B61" s="333">
        <f>1.49*(B14+B15)</f>
        <v>5324.6639999999998</v>
      </c>
      <c r="C61" s="333" t="s">
        <v>525</v>
      </c>
      <c r="D61" s="320"/>
    </row>
    <row r="62" spans="1:4">
      <c r="A62" s="334" t="s">
        <v>63</v>
      </c>
      <c r="B62" s="335">
        <f>(B45+B52)*0.348</f>
        <v>198132.58672274597</v>
      </c>
      <c r="C62" s="336" t="s">
        <v>514</v>
      </c>
      <c r="D62" s="337"/>
    </row>
    <row r="63" spans="1:4" ht="30">
      <c r="A63" s="264" t="s">
        <v>121</v>
      </c>
      <c r="B63" s="304">
        <f>(B45+B52+B62)*0.132</f>
        <v>101307.24123878889</v>
      </c>
      <c r="C63" s="338" t="s">
        <v>225</v>
      </c>
      <c r="D63" s="320" t="s">
        <v>85</v>
      </c>
    </row>
    <row r="64" spans="1:4">
      <c r="A64" s="127" t="s">
        <v>122</v>
      </c>
      <c r="B64" s="307">
        <f>B60+B61+B62+B63</f>
        <v>315663.97196153487</v>
      </c>
      <c r="C64" s="301"/>
      <c r="D64" s="320"/>
    </row>
    <row r="65" spans="1:4">
      <c r="A65" s="264" t="s">
        <v>64</v>
      </c>
      <c r="B65" s="262">
        <f>(B45+B52+B59+B64)*3%</f>
        <v>26550.314565979319</v>
      </c>
      <c r="C65" s="301"/>
      <c r="D65" s="320"/>
    </row>
    <row r="66" spans="1:4">
      <c r="A66" s="127" t="s">
        <v>26</v>
      </c>
      <c r="B66" s="357">
        <f>B45+B52+B59+B64+B65</f>
        <v>911560.80009862327</v>
      </c>
      <c r="C66" s="306"/>
      <c r="D66" s="320"/>
    </row>
    <row r="67" spans="1:4">
      <c r="A67" s="127" t="s">
        <v>475</v>
      </c>
      <c r="B67" s="357">
        <f>B66*1.2</f>
        <v>1093872.9601183478</v>
      </c>
      <c r="C67" s="306"/>
      <c r="D67" s="320"/>
    </row>
    <row r="68" spans="1:4">
      <c r="A68" s="303"/>
      <c r="B68" s="307">
        <f>B32-B67</f>
        <v>-468643.29611834779</v>
      </c>
      <c r="C68" s="308"/>
      <c r="D68" s="320"/>
    </row>
    <row r="69" spans="1:4" ht="30">
      <c r="A69" s="134" t="s">
        <v>123</v>
      </c>
      <c r="B69" s="135">
        <f>B67/(B14+B15)/12</f>
        <v>25.508193421161383</v>
      </c>
      <c r="C69" s="169" t="s">
        <v>421</v>
      </c>
      <c r="D69" s="339"/>
    </row>
    <row r="70" spans="1:4">
      <c r="A70" s="65"/>
      <c r="D70" s="65"/>
    </row>
    <row r="71" spans="1:4">
      <c r="A71" s="799" t="s">
        <v>124</v>
      </c>
      <c r="B71" s="799"/>
      <c r="C71" s="799"/>
      <c r="D71" s="65"/>
    </row>
    <row r="72" spans="1:4" ht="32.25" customHeight="1">
      <c r="A72" s="800" t="s">
        <v>518</v>
      </c>
      <c r="B72" s="800"/>
      <c r="C72" s="800"/>
      <c r="D72" s="65"/>
    </row>
    <row r="73" spans="1:4" ht="32.25" customHeight="1">
      <c r="A73" s="800" t="s">
        <v>519</v>
      </c>
      <c r="B73" s="800"/>
      <c r="C73" s="800"/>
    </row>
    <row r="74" spans="1:4">
      <c r="A74" s="160"/>
      <c r="B74" s="453"/>
      <c r="C74" s="193"/>
    </row>
    <row r="75" spans="1:4">
      <c r="A75" s="797" t="s">
        <v>505</v>
      </c>
      <c r="B75" s="797"/>
      <c r="C75" s="797"/>
    </row>
    <row r="84" spans="1:4" s="65" customFormat="1">
      <c r="A84" s="66"/>
      <c r="B84" s="66"/>
      <c r="C84" s="66"/>
      <c r="D84" s="66"/>
    </row>
    <row r="85" spans="1:4" s="65" customFormat="1">
      <c r="A85" s="66"/>
      <c r="B85" s="66"/>
      <c r="C85" s="66"/>
      <c r="D85" s="66"/>
    </row>
    <row r="86" spans="1:4" s="65" customFormat="1">
      <c r="A86" s="66"/>
      <c r="B86" s="66"/>
      <c r="C86" s="66"/>
      <c r="D86" s="66"/>
    </row>
    <row r="87" spans="1:4" s="65" customFormat="1">
      <c r="A87" s="66"/>
      <c r="B87" s="66"/>
      <c r="C87" s="66"/>
      <c r="D87" s="66"/>
    </row>
    <row r="88" spans="1:4" s="65" customFormat="1">
      <c r="A88" s="66"/>
      <c r="B88" s="66"/>
      <c r="C88" s="66"/>
      <c r="D88" s="66"/>
    </row>
    <row r="89" spans="1:4" s="65" customFormat="1">
      <c r="A89" s="66"/>
      <c r="B89" s="66"/>
      <c r="C89" s="66"/>
      <c r="D89" s="66"/>
    </row>
    <row r="90" spans="1:4" s="65" customFormat="1">
      <c r="A90" s="66"/>
      <c r="B90" s="66"/>
      <c r="C90" s="66"/>
      <c r="D90" s="66"/>
    </row>
    <row r="91" spans="1:4" s="65" customFormat="1">
      <c r="A91" s="66"/>
      <c r="B91" s="66"/>
      <c r="C91" s="66"/>
      <c r="D91" s="66"/>
    </row>
  </sheetData>
  <mergeCells count="6">
    <mergeCell ref="A75:C75"/>
    <mergeCell ref="A10:D10"/>
    <mergeCell ref="A11:D12"/>
    <mergeCell ref="A71:C71"/>
    <mergeCell ref="A72:C72"/>
    <mergeCell ref="A73:C73"/>
  </mergeCells>
  <pageMargins left="0.51181102362204722" right="0.11811023622047244" top="0.15748031496062992" bottom="0.15748031496062992" header="0.31496062992125984" footer="0.31496062992125984"/>
  <pageSetup paperSize="9" scale="80" orientation="portrait" horizontalDpi="4294967294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workbookViewId="0">
      <selection activeCell="E1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535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2759.9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22.73</v>
      </c>
    </row>
    <row r="15" spans="1:7">
      <c r="A15" s="474" t="s">
        <v>7</v>
      </c>
      <c r="B15" s="475">
        <f>B11*G14*12</f>
        <v>752790.32400000002</v>
      </c>
      <c r="C15" s="476" t="s">
        <v>543</v>
      </c>
      <c r="D15" s="477" t="s">
        <v>85</v>
      </c>
      <c r="F15" s="259" t="s">
        <v>134</v>
      </c>
      <c r="G15" s="260">
        <v>2759.9</v>
      </c>
    </row>
    <row r="16" spans="1:7">
      <c r="A16" s="85" t="s">
        <v>9</v>
      </c>
      <c r="B16" s="201">
        <f>B12</f>
        <v>0</v>
      </c>
      <c r="C16" s="503"/>
      <c r="D16" s="477"/>
      <c r="F16" s="259" t="s">
        <v>135</v>
      </c>
      <c r="G16" s="260">
        <v>48</v>
      </c>
    </row>
    <row r="17" spans="1:7" ht="15.75">
      <c r="A17" s="95" t="s">
        <v>12</v>
      </c>
      <c r="B17" s="538">
        <f>B15+B16</f>
        <v>752790.32400000002</v>
      </c>
      <c r="C17" s="485"/>
      <c r="D17" s="477"/>
      <c r="E17" s="162"/>
      <c r="F17" s="259" t="s">
        <v>136</v>
      </c>
      <c r="G17" s="260">
        <v>135</v>
      </c>
    </row>
    <row r="18" spans="1:7">
      <c r="A18" s="486" t="s">
        <v>13</v>
      </c>
      <c r="B18" s="487">
        <f>B19+B20+B21+B22+B23+B24</f>
        <v>5039.76</v>
      </c>
      <c r="C18" s="485"/>
      <c r="D18" s="477"/>
      <c r="F18" s="247" t="s">
        <v>459</v>
      </c>
      <c r="G18" s="248">
        <v>0</v>
      </c>
    </row>
    <row r="19" spans="1:7">
      <c r="A19" s="488" t="s">
        <v>14</v>
      </c>
      <c r="B19" s="487">
        <f>34.98*12</f>
        <v>419.76</v>
      </c>
      <c r="C19" s="485" t="s">
        <v>15</v>
      </c>
      <c r="D19" s="477" t="s">
        <v>85</v>
      </c>
      <c r="F19" s="259" t="s">
        <v>139</v>
      </c>
      <c r="G19" s="260">
        <v>387</v>
      </c>
    </row>
    <row r="20" spans="1:7">
      <c r="A20" s="488" t="s">
        <v>16</v>
      </c>
      <c r="B20" s="487">
        <f>137.5*12</f>
        <v>1650</v>
      </c>
      <c r="C20" s="485" t="s">
        <v>17</v>
      </c>
      <c r="D20" s="477" t="s">
        <v>85</v>
      </c>
      <c r="F20" s="259" t="s">
        <v>140</v>
      </c>
      <c r="G20" s="260">
        <v>2</v>
      </c>
    </row>
    <row r="21" spans="1:7">
      <c r="A21" s="488" t="s">
        <v>18</v>
      </c>
      <c r="B21" s="487">
        <f>123.75*12</f>
        <v>1485</v>
      </c>
      <c r="C21" s="485" t="s">
        <v>19</v>
      </c>
      <c r="D21" s="477" t="s">
        <v>85</v>
      </c>
      <c r="F21" s="259" t="s">
        <v>141</v>
      </c>
      <c r="G21" s="260">
        <v>1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1054.5</v>
      </c>
    </row>
    <row r="23" spans="1:7">
      <c r="A23" s="488" t="s">
        <v>66</v>
      </c>
      <c r="B23" s="487">
        <f>150*12*0</f>
        <v>0</v>
      </c>
      <c r="C23" s="485" t="s">
        <v>21</v>
      </c>
      <c r="D23" s="477" t="s">
        <v>85</v>
      </c>
      <c r="F23" s="259" t="s">
        <v>143</v>
      </c>
      <c r="G23" s="277">
        <v>1059.5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322.58</v>
      </c>
    </row>
    <row r="26" spans="1:7" ht="18.75">
      <c r="A26" s="491" t="s">
        <v>26</v>
      </c>
      <c r="B26" s="492">
        <f>B17+B18+B25</f>
        <v>757830.08400000003</v>
      </c>
      <c r="C26" s="489"/>
      <c r="D26" s="490"/>
      <c r="F26" s="259" t="s">
        <v>460</v>
      </c>
      <c r="G26" s="278">
        <v>6.96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0.48321917808219178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G16/144</f>
        <v>0.33333333333333331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56435.926493029314</v>
      </c>
      <c r="C29" s="341" t="s">
        <v>636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12</v>
      </c>
    </row>
    <row r="31" spans="1:7" ht="45">
      <c r="A31" s="287" t="s">
        <v>32</v>
      </c>
      <c r="B31" s="342">
        <f>(0.33*9921.13*6)+(0.33*10317.11*6)+(48*10.41812*12)</f>
        <v>46072.552320000003</v>
      </c>
      <c r="C31" s="344" t="s">
        <v>637</v>
      </c>
      <c r="D31" s="258"/>
      <c r="F31" s="247" t="s">
        <v>462</v>
      </c>
      <c r="G31" s="279">
        <v>357</v>
      </c>
    </row>
    <row r="32" spans="1:7" s="105" customFormat="1">
      <c r="A32" s="287" t="s">
        <v>34</v>
      </c>
      <c r="B32" s="345">
        <f>(16.06+16.7)*G16</f>
        <v>1572.48</v>
      </c>
      <c r="C32" s="346" t="s">
        <v>602</v>
      </c>
      <c r="D32" s="258" t="s">
        <v>88</v>
      </c>
      <c r="E32" s="499"/>
      <c r="F32" s="285" t="s">
        <v>463</v>
      </c>
      <c r="G32" s="286">
        <v>357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12990</v>
      </c>
    </row>
    <row r="34" spans="1:7">
      <c r="A34" s="287" t="s">
        <v>36</v>
      </c>
      <c r="B34" s="347">
        <f>0.25*G31*12</f>
        <v>1071</v>
      </c>
      <c r="C34" s="348" t="s">
        <v>638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345">
        <f>2.34*G31*4</f>
        <v>3341.52</v>
      </c>
      <c r="C35" s="251" t="s">
        <v>639</v>
      </c>
      <c r="D35" s="258" t="s">
        <v>89</v>
      </c>
      <c r="F35" s="247" t="s">
        <v>467</v>
      </c>
      <c r="G35" s="279">
        <v>2</v>
      </c>
    </row>
    <row r="36" spans="1:7" ht="30">
      <c r="A36" s="417" t="s">
        <v>67</v>
      </c>
      <c r="B36" s="381">
        <f>(635.59*6+661.01*6)*G34</f>
        <v>7779.6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 ht="30">
      <c r="A38" s="385" t="s">
        <v>536</v>
      </c>
      <c r="B38" s="383">
        <f>G16*(42.9*6+44.62*6)</f>
        <v>25205.759999999995</v>
      </c>
      <c r="C38" s="417" t="s">
        <v>640</v>
      </c>
      <c r="D38" s="505"/>
    </row>
    <row r="39" spans="1:7">
      <c r="A39" s="385" t="s">
        <v>529</v>
      </c>
      <c r="B39" s="383">
        <f>3750*12*2</f>
        <v>90000</v>
      </c>
      <c r="C39" s="417" t="s">
        <v>607</v>
      </c>
      <c r="D39" s="504" t="s">
        <v>85</v>
      </c>
    </row>
    <row r="40" spans="1:7">
      <c r="A40" s="385" t="s">
        <v>530</v>
      </c>
      <c r="B40" s="383">
        <f>4190*2</f>
        <v>8380</v>
      </c>
      <c r="C40" s="417" t="s">
        <v>605</v>
      </c>
      <c r="D40" s="505" t="s">
        <v>532</v>
      </c>
    </row>
    <row r="41" spans="1:7" ht="15.75">
      <c r="A41" s="507" t="s">
        <v>47</v>
      </c>
      <c r="B41" s="492">
        <f>SUM(B29:B40)</f>
        <v>239858.83881302932</v>
      </c>
      <c r="C41" s="509"/>
      <c r="D41" s="477"/>
    </row>
    <row r="42" spans="1:7">
      <c r="A42" s="496" t="s">
        <v>48</v>
      </c>
      <c r="B42" s="487"/>
      <c r="C42" s="485"/>
      <c r="D42" s="477"/>
    </row>
    <row r="43" spans="1:7" ht="45">
      <c r="A43" s="421" t="s">
        <v>49</v>
      </c>
      <c r="B43" s="413">
        <f>(G26*100.2134*6)+(G26*104.2268)+(1.71*(B12+B11)*12)</f>
        <v>61543.478111999997</v>
      </c>
      <c r="C43" s="422" t="s">
        <v>641</v>
      </c>
      <c r="D43" s="423"/>
    </row>
    <row r="44" spans="1:7" s="111" customFormat="1" ht="120">
      <c r="A44" s="426" t="s">
        <v>120</v>
      </c>
      <c r="B44" s="427">
        <f>17.51*(B12+B11)</f>
        <v>48325.849000000009</v>
      </c>
      <c r="C44" s="428" t="s">
        <v>642</v>
      </c>
      <c r="D44" s="377"/>
      <c r="E44" s="513"/>
    </row>
    <row r="45" spans="1:7" ht="63">
      <c r="A45" s="456" t="s">
        <v>51</v>
      </c>
      <c r="B45" s="457">
        <f>(654.11+263.56/3)*G33/1000</f>
        <v>9638.1037000000015</v>
      </c>
      <c r="C45" s="458" t="s">
        <v>643</v>
      </c>
      <c r="D45" s="459" t="s">
        <v>91</v>
      </c>
    </row>
    <row r="46" spans="1:7" ht="60">
      <c r="A46" s="430" t="s">
        <v>52</v>
      </c>
      <c r="B46" s="431">
        <f>((G25/12*6*100.2134)+(G25/12*6*104.2268))+((G25/12*6*100.2134)+(G25/12*6*104.2268))/1.302*25%</f>
        <v>39305.603763145926</v>
      </c>
      <c r="C46" s="422" t="s">
        <v>644</v>
      </c>
      <c r="D46" s="377"/>
    </row>
    <row r="47" spans="1:7" ht="15.75">
      <c r="A47" s="515" t="s">
        <v>53</v>
      </c>
      <c r="B47" s="492">
        <f>SUM(B44:B46)</f>
        <v>97269.556463145942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5" s="105" customFormat="1" ht="12.75">
      <c r="A49" s="118" t="s">
        <v>501</v>
      </c>
      <c r="B49" s="201"/>
      <c r="C49" s="516"/>
      <c r="D49" s="477"/>
      <c r="E49" s="499"/>
    </row>
    <row r="50" spans="1:5">
      <c r="A50" s="514" t="s">
        <v>502</v>
      </c>
      <c r="B50" s="487"/>
      <c r="C50" s="517"/>
      <c r="D50" s="477"/>
    </row>
    <row r="51" spans="1:5">
      <c r="A51" s="514" t="s">
        <v>57</v>
      </c>
      <c r="B51" s="487"/>
      <c r="C51" s="517"/>
      <c r="D51" s="477"/>
    </row>
    <row r="52" spans="1:5">
      <c r="A52" s="514" t="s">
        <v>58</v>
      </c>
      <c r="B52" s="487"/>
      <c r="C52" s="517"/>
      <c r="D52" s="477"/>
    </row>
    <row r="53" spans="1:5">
      <c r="A53" s="514" t="s">
        <v>59</v>
      </c>
      <c r="B53" s="487"/>
      <c r="C53" s="517"/>
      <c r="D53" s="477"/>
    </row>
    <row r="54" spans="1:5" ht="15.75">
      <c r="A54" s="515" t="s">
        <v>60</v>
      </c>
      <c r="B54" s="492">
        <f>B49+B50</f>
        <v>0</v>
      </c>
      <c r="C54" s="518"/>
      <c r="D54" s="477"/>
    </row>
    <row r="55" spans="1:5">
      <c r="A55" s="519" t="s">
        <v>61</v>
      </c>
      <c r="B55" s="407">
        <f>3.051*(B12+B11)</f>
        <v>8420.4549000000006</v>
      </c>
      <c r="C55" s="539" t="s">
        <v>723</v>
      </c>
      <c r="D55" s="477"/>
    </row>
    <row r="56" spans="1:5">
      <c r="A56" s="520" t="s">
        <v>62</v>
      </c>
      <c r="B56" s="407">
        <f>1.54*(B11+B12)</f>
        <v>4250.2460000000001</v>
      </c>
      <c r="C56" s="540" t="s">
        <v>724</v>
      </c>
      <c r="D56" s="477"/>
    </row>
    <row r="57" spans="1:5">
      <c r="A57" s="488" t="s">
        <v>63</v>
      </c>
      <c r="B57" s="440">
        <f>(B41+B47)*0.348</f>
        <v>117320.68155610898</v>
      </c>
      <c r="C57" s="381" t="s">
        <v>514</v>
      </c>
      <c r="D57" s="477"/>
    </row>
    <row r="58" spans="1:5" ht="25.5">
      <c r="A58" s="488" t="s">
        <v>121</v>
      </c>
      <c r="B58" s="487">
        <f>(B43+B47+B54+B57)*0.132</f>
        <v>36449.650529325649</v>
      </c>
      <c r="C58" s="517" t="s">
        <v>503</v>
      </c>
      <c r="D58" s="477" t="s">
        <v>85</v>
      </c>
    </row>
    <row r="59" spans="1:5" ht="15.75">
      <c r="A59" s="441" t="s">
        <v>122</v>
      </c>
      <c r="B59" s="492">
        <f>B55+B56+B57+B58</f>
        <v>166441.03298543463</v>
      </c>
      <c r="C59" s="518"/>
      <c r="D59" s="477"/>
    </row>
    <row r="60" spans="1:5">
      <c r="A60" s="488" t="s">
        <v>64</v>
      </c>
      <c r="B60" s="487">
        <f>(B41+B47+B54+B59)*3%</f>
        <v>15107.082847848294</v>
      </c>
      <c r="C60" s="517"/>
      <c r="D60" s="477"/>
    </row>
    <row r="61" spans="1:5" ht="15.75">
      <c r="A61" s="522" t="s">
        <v>26</v>
      </c>
      <c r="B61" s="537">
        <f>B41+B47+B54+B59+B60</f>
        <v>518676.51110945817</v>
      </c>
      <c r="C61" s="524"/>
      <c r="D61" s="477"/>
    </row>
    <row r="62" spans="1:5" ht="15.75">
      <c r="A62" s="522" t="s">
        <v>65</v>
      </c>
      <c r="B62" s="537">
        <f>B61*1.2</f>
        <v>622411.81333134975</v>
      </c>
      <c r="C62" s="524"/>
      <c r="D62" s="477"/>
    </row>
    <row r="63" spans="1:5" ht="15.75">
      <c r="A63" s="525"/>
      <c r="B63" s="492">
        <f>B26-B62</f>
        <v>135418.27066865028</v>
      </c>
      <c r="C63" s="526"/>
      <c r="D63" s="477"/>
    </row>
    <row r="64" spans="1:5" ht="30">
      <c r="A64" s="527" t="s">
        <v>123</v>
      </c>
      <c r="B64" s="528">
        <f>B62/(B11+B12)/12</f>
        <v>18.79330813107207</v>
      </c>
      <c r="C64" s="529" t="s">
        <v>544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7:D7"/>
    <mergeCell ref="A8:D9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F0"/>
  </sheetPr>
  <dimension ref="A1:G91"/>
  <sheetViews>
    <sheetView topLeftCell="A26" workbookViewId="0">
      <selection activeCell="E26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" style="67" customWidth="1"/>
    <col min="5" max="5" width="5.8554687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33.75" customHeight="1">
      <c r="A8" s="798" t="s">
        <v>478</v>
      </c>
      <c r="B8" s="798"/>
      <c r="C8" s="798"/>
      <c r="D8" s="798"/>
    </row>
    <row r="9" spans="1:7" ht="15" customHeight="1">
      <c r="A9" s="798" t="s">
        <v>116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3559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13.25</v>
      </c>
    </row>
    <row r="16" spans="1:7">
      <c r="A16" s="85" t="s">
        <v>7</v>
      </c>
      <c r="B16" s="149">
        <f>B12*13.25*12</f>
        <v>565881</v>
      </c>
      <c r="C16" s="150" t="s">
        <v>1028</v>
      </c>
      <c r="D16" s="86" t="s">
        <v>85</v>
      </c>
      <c r="F16" s="259" t="s">
        <v>134</v>
      </c>
      <c r="G16" s="260">
        <v>3559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80</v>
      </c>
    </row>
    <row r="18" spans="1:7" ht="15.75">
      <c r="A18" s="95" t="s">
        <v>12</v>
      </c>
      <c r="B18" s="586">
        <f>B16+B17</f>
        <v>565881</v>
      </c>
      <c r="C18" s="96"/>
      <c r="D18" s="90"/>
      <c r="F18" s="259" t="s">
        <v>136</v>
      </c>
      <c r="G18" s="260">
        <v>209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878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0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0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933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3140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504.59</v>
      </c>
    </row>
    <row r="27" spans="1:7">
      <c r="A27" s="97" t="s">
        <v>24</v>
      </c>
      <c r="B27" s="1">
        <v>0</v>
      </c>
      <c r="C27" s="96"/>
      <c r="D27" s="90"/>
      <c r="F27" s="259" t="s">
        <v>460</v>
      </c>
      <c r="G27" s="278">
        <v>10.06</v>
      </c>
    </row>
    <row r="28" spans="1:7" ht="18.75">
      <c r="A28" s="98" t="s">
        <v>26</v>
      </c>
      <c r="B28" s="99">
        <f>B18+B19+B27</f>
        <v>571070.76</v>
      </c>
      <c r="C28" s="96"/>
      <c r="D28" s="90"/>
      <c r="F28" s="259" t="s">
        <v>461</v>
      </c>
      <c r="G28" s="278">
        <f>(G23/3+G24)/3358</f>
        <v>1.0276950565812983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148</v>
      </c>
      <c r="G29" s="278">
        <v>0</v>
      </c>
    </row>
    <row r="30" spans="1:7">
      <c r="A30" s="102" t="s">
        <v>29</v>
      </c>
      <c r="B30" s="88"/>
      <c r="C30" s="103"/>
      <c r="D30" s="90"/>
      <c r="F30" s="259" t="s">
        <v>149</v>
      </c>
      <c r="G30" s="279">
        <v>0</v>
      </c>
    </row>
    <row r="31" spans="1:7" ht="51">
      <c r="A31" s="496" t="s">
        <v>30</v>
      </c>
      <c r="B31" s="599">
        <f>(G28*(3708+200)*1.5*1.15*1.083*1.302*6)+G28*((3708+200)*1.5*1.15*1.083*1.302*6)+(0.104*G22*12)</f>
        <v>117227.25856558356</v>
      </c>
      <c r="C31" s="497" t="s">
        <v>1029</v>
      </c>
      <c r="D31" s="600" t="s">
        <v>86</v>
      </c>
      <c r="F31" s="247" t="s">
        <v>151</v>
      </c>
      <c r="G31" s="279">
        <v>5</v>
      </c>
    </row>
    <row r="32" spans="1:7" ht="25.5">
      <c r="A32" s="104" t="s">
        <v>31</v>
      </c>
      <c r="B32" s="601">
        <f>(G30*9921.13*6)+(G30*10317.11*6)</f>
        <v>0</v>
      </c>
      <c r="C32" s="176" t="s">
        <v>509</v>
      </c>
      <c r="D32" s="234"/>
      <c r="F32" s="247" t="s">
        <v>462</v>
      </c>
      <c r="G32" s="279">
        <v>732.4</v>
      </c>
    </row>
    <row r="33" spans="1:7" ht="38.25">
      <c r="A33" s="104" t="s">
        <v>32</v>
      </c>
      <c r="B33" s="760">
        <f>(G29*9921.13*6)+(G29*10317.11*6)+(G17*10.41812*12)*G22</f>
        <v>0</v>
      </c>
      <c r="C33" s="198" t="s">
        <v>672</v>
      </c>
      <c r="D33" s="234"/>
      <c r="F33" s="285" t="s">
        <v>463</v>
      </c>
      <c r="G33" s="286">
        <v>732.4</v>
      </c>
    </row>
    <row r="34" spans="1:7">
      <c r="A34" s="104" t="s">
        <v>34</v>
      </c>
      <c r="B34" s="602">
        <f>(16.06+16.7)*G17</f>
        <v>2620.7999999999997</v>
      </c>
      <c r="C34" s="603" t="s">
        <v>468</v>
      </c>
      <c r="D34" s="234" t="s">
        <v>88</v>
      </c>
      <c r="F34" s="289" t="s">
        <v>464</v>
      </c>
      <c r="G34" s="290">
        <v>14262</v>
      </c>
    </row>
    <row r="35" spans="1:7" ht="36.75" customHeight="1">
      <c r="A35" s="104" t="s">
        <v>35</v>
      </c>
      <c r="B35" s="602">
        <f>(49.72+51.71)*2*0</f>
        <v>0</v>
      </c>
      <c r="C35" s="603" t="s">
        <v>469</v>
      </c>
      <c r="D35" s="234"/>
      <c r="F35" s="247" t="s">
        <v>465</v>
      </c>
      <c r="G35" s="279">
        <v>1</v>
      </c>
    </row>
    <row r="36" spans="1:7">
      <c r="A36" s="104" t="s">
        <v>36</v>
      </c>
      <c r="B36" s="604">
        <f>0.25*G32*12</f>
        <v>2197.1999999999998</v>
      </c>
      <c r="C36" s="605" t="s">
        <v>1030</v>
      </c>
      <c r="D36" s="234" t="s">
        <v>85</v>
      </c>
      <c r="F36" s="247" t="s">
        <v>467</v>
      </c>
      <c r="G36" s="279">
        <v>2</v>
      </c>
    </row>
    <row r="37" spans="1:7">
      <c r="A37" s="106" t="s">
        <v>37</v>
      </c>
      <c r="B37" s="761">
        <f>2.34*G32*4</f>
        <v>6855.2639999999992</v>
      </c>
      <c r="C37" s="606" t="s">
        <v>1031</v>
      </c>
      <c r="D37" s="234" t="s">
        <v>89</v>
      </c>
    </row>
    <row r="38" spans="1:7">
      <c r="A38" s="501" t="s">
        <v>158</v>
      </c>
      <c r="B38" s="502">
        <f>294.52*12</f>
        <v>3534.24</v>
      </c>
      <c r="C38" s="488" t="s">
        <v>1045</v>
      </c>
      <c r="D38" s="579"/>
    </row>
    <row r="39" spans="1:7" ht="25.5">
      <c r="A39" s="501" t="s">
        <v>67</v>
      </c>
      <c r="B39" s="482">
        <f>(635.59*6+661.01*6)*G35</f>
        <v>7779.6</v>
      </c>
      <c r="C39" s="476" t="s">
        <v>496</v>
      </c>
      <c r="D39" s="579" t="s">
        <v>85</v>
      </c>
    </row>
    <row r="40" spans="1:7" ht="25.5">
      <c r="A40" s="501" t="s">
        <v>190</v>
      </c>
      <c r="B40" s="762">
        <f>(466.1*6+484.74*6)*G19</f>
        <v>0</v>
      </c>
      <c r="C40" s="476" t="s">
        <v>497</v>
      </c>
      <c r="D40" s="579" t="s">
        <v>85</v>
      </c>
    </row>
    <row r="41" spans="1:7">
      <c r="A41" s="763" t="s">
        <v>47</v>
      </c>
      <c r="B41" s="551">
        <f>SUM(B31:B40)</f>
        <v>140214.36256558355</v>
      </c>
      <c r="C41" s="485"/>
      <c r="D41" s="477"/>
    </row>
    <row r="42" spans="1:7">
      <c r="A42" s="496" t="s">
        <v>48</v>
      </c>
      <c r="B42" s="487"/>
      <c r="C42" s="485"/>
      <c r="D42" s="477"/>
    </row>
    <row r="43" spans="1:7" ht="38.25">
      <c r="A43" s="510" t="s">
        <v>49</v>
      </c>
      <c r="B43" s="580">
        <f>(G27*100.2134*6)+(G27*104.2268)+(1.71*(B13+B12)*12)</f>
        <v>80128.08243200001</v>
      </c>
      <c r="C43" s="582" t="s">
        <v>1034</v>
      </c>
      <c r="D43" s="512"/>
    </row>
    <row r="44" spans="1:7" s="63" customFormat="1">
      <c r="A44" s="291" t="s">
        <v>50</v>
      </c>
      <c r="B44" s="276">
        <f>15.92*G20</f>
        <v>13977.76</v>
      </c>
      <c r="C44" s="424" t="s">
        <v>1038</v>
      </c>
      <c r="D44" s="377" t="s">
        <v>90</v>
      </c>
    </row>
    <row r="45" spans="1:7" ht="89.25">
      <c r="A45" s="583" t="s">
        <v>120</v>
      </c>
      <c r="B45" s="502">
        <f>17.51*(B13+B12)</f>
        <v>62318.090000000004</v>
      </c>
      <c r="C45" s="485" t="s">
        <v>1035</v>
      </c>
      <c r="D45" s="579"/>
    </row>
    <row r="46" spans="1:7" ht="51">
      <c r="A46" s="104" t="s">
        <v>51</v>
      </c>
      <c r="B46" s="478">
        <f>(654.11+263.56/3)*G34/1000</f>
        <v>10581.88106</v>
      </c>
      <c r="C46" s="511" t="s">
        <v>1039</v>
      </c>
      <c r="D46" s="501" t="s">
        <v>91</v>
      </c>
    </row>
    <row r="47" spans="1:7" ht="51">
      <c r="A47" s="514" t="s">
        <v>52</v>
      </c>
      <c r="B47" s="584">
        <f>((G26/12*6*100.2134)+(G26/12*6*104.2268))+((G26/12*6*100.2134)+(G26/12*6*104.2268))/1.302*25%</f>
        <v>61483.08823499846</v>
      </c>
      <c r="C47" s="582" t="s">
        <v>1040</v>
      </c>
      <c r="D47" s="579"/>
    </row>
    <row r="48" spans="1:7" ht="15.75">
      <c r="A48" s="117" t="s">
        <v>53</v>
      </c>
      <c r="B48" s="99">
        <f>B44+B45+B46+B47+B43</f>
        <v>228488.90172699851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32">
        <f>B50+B51</f>
        <v>0</v>
      </c>
      <c r="C55" s="122"/>
      <c r="D55" s="90"/>
    </row>
    <row r="56" spans="1:4">
      <c r="A56" s="123" t="s">
        <v>61</v>
      </c>
      <c r="B56" s="330">
        <f>3.05*(B13+B12)</f>
        <v>10854.949999999999</v>
      </c>
      <c r="C56" s="325" t="s">
        <v>1036</v>
      </c>
      <c r="D56" s="90"/>
    </row>
    <row r="57" spans="1:4">
      <c r="A57" s="124" t="s">
        <v>62</v>
      </c>
      <c r="B57" s="333">
        <f>1.49*(B13+B12)</f>
        <v>5302.91</v>
      </c>
      <c r="C57" s="333" t="s">
        <v>1037</v>
      </c>
      <c r="D57" s="90"/>
    </row>
    <row r="58" spans="1:4">
      <c r="A58" s="68" t="s">
        <v>63</v>
      </c>
      <c r="B58" s="335">
        <f>(B41+B48)*0.348</f>
        <v>128308.73597381855</v>
      </c>
      <c r="C58" s="336" t="s">
        <v>514</v>
      </c>
      <c r="D58" s="90"/>
    </row>
    <row r="59" spans="1:4" ht="38.25">
      <c r="A59" s="68" t="s">
        <v>121</v>
      </c>
      <c r="B59" s="125">
        <f>(B41+B48+B58)*0.132</f>
        <v>65605.58403516488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210072.18000898341</v>
      </c>
      <c r="C60" s="122"/>
      <c r="D60" s="90"/>
    </row>
    <row r="61" spans="1:4">
      <c r="A61" s="68" t="s">
        <v>64</v>
      </c>
      <c r="B61" s="88">
        <f>(B41+B48+B55+B60)*3%</f>
        <v>17363.26332904696</v>
      </c>
      <c r="C61" s="120"/>
      <c r="D61" s="90"/>
    </row>
    <row r="62" spans="1:4" ht="15.75">
      <c r="A62" s="128" t="s">
        <v>26</v>
      </c>
      <c r="B62" s="595">
        <f>B41+B48+B55+B60+B61</f>
        <v>596138.70763061242</v>
      </c>
      <c r="C62" s="130"/>
      <c r="D62" s="90"/>
    </row>
    <row r="63" spans="1:4" ht="15.75">
      <c r="A63" s="128" t="s">
        <v>65</v>
      </c>
      <c r="B63" s="595">
        <f>B62*1.2</f>
        <v>715366.44915673486</v>
      </c>
      <c r="C63" s="130"/>
      <c r="D63" s="90"/>
    </row>
    <row r="64" spans="1:4" ht="15.75">
      <c r="A64" s="131"/>
      <c r="B64" s="132">
        <f>B28-B63</f>
        <v>-144295.68915673485</v>
      </c>
      <c r="C64" s="133"/>
      <c r="D64" s="90"/>
    </row>
    <row r="65" spans="1:4" ht="30">
      <c r="A65" s="134" t="s">
        <v>123</v>
      </c>
      <c r="B65" s="135">
        <f>B63/(B12+B13)/12</f>
        <v>16.750174420640978</v>
      </c>
      <c r="C65" s="136" t="s">
        <v>422</v>
      </c>
      <c r="D65" s="137"/>
    </row>
    <row r="66" spans="1:4">
      <c r="A66" s="138"/>
      <c r="D66" s="138"/>
    </row>
    <row r="67" spans="1:4" ht="15" customHeight="1">
      <c r="A67" s="799" t="s">
        <v>124</v>
      </c>
      <c r="B67" s="799"/>
      <c r="C67" s="799"/>
      <c r="D67" s="138"/>
    </row>
    <row r="68" spans="1:4" ht="38.25" customHeight="1">
      <c r="A68" s="800" t="s">
        <v>518</v>
      </c>
      <c r="B68" s="800"/>
      <c r="C68" s="800"/>
      <c r="D68" s="196"/>
    </row>
    <row r="69" spans="1:4" ht="36.75" customHeight="1">
      <c r="A69" s="800" t="s">
        <v>519</v>
      </c>
      <c r="B69" s="800"/>
      <c r="C69" s="800"/>
      <c r="D69" s="196"/>
    </row>
    <row r="70" spans="1:4" ht="24" customHeight="1">
      <c r="A70" s="160"/>
      <c r="B70" s="453"/>
      <c r="C70" s="193"/>
      <c r="D70" s="138"/>
    </row>
    <row r="71" spans="1:4">
      <c r="A71" s="797" t="s">
        <v>505</v>
      </c>
      <c r="B71" s="797"/>
      <c r="C71" s="797"/>
      <c r="D71" s="138"/>
    </row>
    <row r="72" spans="1:4">
      <c r="D72" s="138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  <row r="91" spans="1:4" s="65" customFormat="1">
      <c r="A91" s="66"/>
      <c r="B91" s="66"/>
      <c r="C91" s="66"/>
      <c r="D91" s="67"/>
    </row>
  </sheetData>
  <mergeCells count="6">
    <mergeCell ref="A71:C71"/>
    <mergeCell ref="A67:C67"/>
    <mergeCell ref="A8:D8"/>
    <mergeCell ref="A9:D10"/>
    <mergeCell ref="A68:C68"/>
    <mergeCell ref="A69:C69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F0"/>
  </sheetPr>
  <dimension ref="A1:G90"/>
  <sheetViews>
    <sheetView topLeftCell="A17" workbookViewId="0">
      <selection activeCell="E17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7.7109375" style="67" customWidth="1"/>
    <col min="5" max="5" width="5.570312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30.75" customHeight="1">
      <c r="A8" s="798" t="s">
        <v>478</v>
      </c>
      <c r="B8" s="798"/>
      <c r="C8" s="798"/>
      <c r="D8" s="798"/>
    </row>
    <row r="9" spans="1:7" ht="15" customHeight="1">
      <c r="A9" s="798" t="s">
        <v>117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3569.3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15.04</v>
      </c>
    </row>
    <row r="16" spans="1:7">
      <c r="A16" s="85" t="s">
        <v>7</v>
      </c>
      <c r="B16" s="149">
        <f>B12*G15*12</f>
        <v>644187.26399999997</v>
      </c>
      <c r="C16" s="150" t="s">
        <v>1065</v>
      </c>
      <c r="D16" s="86" t="s">
        <v>85</v>
      </c>
      <c r="F16" s="259" t="s">
        <v>134</v>
      </c>
      <c r="G16" s="260">
        <v>3569.3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80</v>
      </c>
    </row>
    <row r="18" spans="1:7" ht="15.75">
      <c r="A18" s="95" t="s">
        <v>12</v>
      </c>
      <c r="B18" s="1">
        <f>B16+B17</f>
        <v>644187.26399999997</v>
      </c>
      <c r="C18" s="96"/>
      <c r="D18" s="90"/>
      <c r="F18" s="259" t="s">
        <v>136</v>
      </c>
      <c r="G18" s="260">
        <v>204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877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0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0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936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2350.5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505.19</v>
      </c>
    </row>
    <row r="27" spans="1:7">
      <c r="A27" s="97" t="s">
        <v>24</v>
      </c>
      <c r="B27" s="1">
        <v>0</v>
      </c>
      <c r="C27" s="96"/>
      <c r="D27" s="90"/>
      <c r="F27" s="259" t="s">
        <v>460</v>
      </c>
      <c r="G27" s="278">
        <v>9.98</v>
      </c>
    </row>
    <row r="28" spans="1:7" ht="18.75">
      <c r="A28" s="98" t="s">
        <v>26</v>
      </c>
      <c r="B28" s="99">
        <f>B18+B19+B27</f>
        <v>649377.02399999998</v>
      </c>
      <c r="C28" s="96"/>
      <c r="D28" s="90"/>
      <c r="F28" s="259" t="s">
        <v>461</v>
      </c>
      <c r="G28" s="278">
        <f>(G23/3+G24)/3358</f>
        <v>0.7928826682549136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148</v>
      </c>
      <c r="G29" s="278">
        <v>0</v>
      </c>
    </row>
    <row r="30" spans="1:7">
      <c r="A30" s="102" t="s">
        <v>29</v>
      </c>
      <c r="B30" s="88"/>
      <c r="C30" s="103"/>
      <c r="D30" s="90"/>
      <c r="F30" s="259" t="s">
        <v>149</v>
      </c>
      <c r="G30" s="279">
        <f>406.2/790</f>
        <v>0.51417721518987336</v>
      </c>
    </row>
    <row r="31" spans="1:7" ht="51">
      <c r="A31" s="496" t="s">
        <v>30</v>
      </c>
      <c r="B31" s="599">
        <f>(G28*(3708+200)*1.5*1.15*1.083*1.302*6)+G28*((3708+200)*1.5*1.15*1.083*1.302*6)+(0.104*G23*12)</f>
        <v>91610.77532856162</v>
      </c>
      <c r="C31" s="497" t="s">
        <v>1041</v>
      </c>
      <c r="D31" s="600" t="s">
        <v>86</v>
      </c>
      <c r="F31" s="247" t="s">
        <v>151</v>
      </c>
      <c r="G31" s="279">
        <v>5</v>
      </c>
    </row>
    <row r="32" spans="1:7" ht="25.5">
      <c r="A32" s="104" t="s">
        <v>31</v>
      </c>
      <c r="B32" s="601">
        <f>(G30*9921.13*6)+(G30*10317.11*6)</f>
        <v>62436.251301265816</v>
      </c>
      <c r="C32" s="176" t="s">
        <v>1054</v>
      </c>
      <c r="D32" s="234"/>
      <c r="F32" s="247" t="s">
        <v>462</v>
      </c>
      <c r="G32" s="279">
        <v>708.6</v>
      </c>
    </row>
    <row r="33" spans="1:7" ht="38.25">
      <c r="A33" s="104" t="s">
        <v>32</v>
      </c>
      <c r="B33" s="760">
        <f>(G29*9921.13*6)+(G29*10317.11*6)+(G17*10.41812*12)*G22</f>
        <v>0</v>
      </c>
      <c r="C33" s="198" t="s">
        <v>672</v>
      </c>
      <c r="D33" s="234"/>
      <c r="F33" s="285" t="s">
        <v>463</v>
      </c>
      <c r="G33" s="286">
        <v>708.6</v>
      </c>
    </row>
    <row r="34" spans="1:7">
      <c r="A34" s="104" t="s">
        <v>34</v>
      </c>
      <c r="B34" s="602">
        <f>(16.06+16.7)*G17</f>
        <v>2620.7999999999997</v>
      </c>
      <c r="C34" s="603" t="s">
        <v>468</v>
      </c>
      <c r="D34" s="234" t="s">
        <v>88</v>
      </c>
      <c r="F34" s="289" t="s">
        <v>464</v>
      </c>
      <c r="G34" s="290">
        <v>14796</v>
      </c>
    </row>
    <row r="35" spans="1:7" ht="36.75" customHeight="1">
      <c r="A35" s="104" t="s">
        <v>35</v>
      </c>
      <c r="B35" s="602">
        <f>(49.72+51.71)*2*0</f>
        <v>0</v>
      </c>
      <c r="C35" s="603" t="s">
        <v>469</v>
      </c>
      <c r="D35" s="234"/>
      <c r="F35" s="247" t="s">
        <v>465</v>
      </c>
      <c r="G35" s="279">
        <v>1</v>
      </c>
    </row>
    <row r="36" spans="1:7">
      <c r="A36" s="104" t="s">
        <v>36</v>
      </c>
      <c r="B36" s="604">
        <f>0.25*G32*12</f>
        <v>2125.8000000000002</v>
      </c>
      <c r="C36" s="605" t="s">
        <v>1042</v>
      </c>
      <c r="D36" s="234" t="s">
        <v>85</v>
      </c>
      <c r="F36" s="247" t="s">
        <v>467</v>
      </c>
      <c r="G36" s="279">
        <v>2</v>
      </c>
    </row>
    <row r="37" spans="1:7">
      <c r="A37" s="106" t="s">
        <v>37</v>
      </c>
      <c r="B37" s="761">
        <f>2.34*G32*4</f>
        <v>6632.4960000000001</v>
      </c>
      <c r="C37" s="606" t="s">
        <v>1043</v>
      </c>
      <c r="D37" s="234" t="s">
        <v>89</v>
      </c>
    </row>
    <row r="38" spans="1:7">
      <c r="A38" s="501" t="s">
        <v>158</v>
      </c>
      <c r="B38" s="502">
        <f>295.34*12</f>
        <v>3544.08</v>
      </c>
      <c r="C38" s="488" t="s">
        <v>1044</v>
      </c>
      <c r="D38" s="579"/>
    </row>
    <row r="39" spans="1:7" ht="25.5">
      <c r="A39" s="501" t="s">
        <v>67</v>
      </c>
      <c r="B39" s="482">
        <f>(635.59*6+661.01*6)*G35</f>
        <v>7779.6</v>
      </c>
      <c r="C39" s="476" t="s">
        <v>496</v>
      </c>
      <c r="D39" s="579" t="s">
        <v>85</v>
      </c>
    </row>
    <row r="40" spans="1:7" ht="25.5">
      <c r="A40" s="501" t="s">
        <v>190</v>
      </c>
      <c r="B40" s="762">
        <f>(466.1*6+484.74*6)*G19</f>
        <v>0</v>
      </c>
      <c r="C40" s="476" t="s">
        <v>497</v>
      </c>
      <c r="D40" s="579" t="s">
        <v>85</v>
      </c>
    </row>
    <row r="41" spans="1:7">
      <c r="A41" s="763" t="s">
        <v>47</v>
      </c>
      <c r="B41" s="551">
        <f>SUM(B31:B40)</f>
        <v>176749.80262982743</v>
      </c>
      <c r="C41" s="485"/>
      <c r="D41" s="477"/>
    </row>
    <row r="42" spans="1:7">
      <c r="A42" s="496" t="s">
        <v>48</v>
      </c>
      <c r="B42" s="487"/>
      <c r="C42" s="485"/>
      <c r="D42" s="477"/>
    </row>
    <row r="43" spans="1:7" s="63" customFormat="1" ht="38.25">
      <c r="A43" s="510" t="s">
        <v>49</v>
      </c>
      <c r="B43" s="580">
        <f>(G27*100.2134*6)+(G27*104.2268)+(1.71*(B13+B12)*12)</f>
        <v>80282.997856000002</v>
      </c>
      <c r="C43" s="582" t="s">
        <v>1046</v>
      </c>
      <c r="D43" s="512"/>
    </row>
    <row r="44" spans="1:7">
      <c r="A44" s="291" t="s">
        <v>50</v>
      </c>
      <c r="B44" s="276">
        <f>15.92*G20</f>
        <v>13961.84</v>
      </c>
      <c r="C44" s="424" t="s">
        <v>1047</v>
      </c>
      <c r="D44" s="377" t="s">
        <v>90</v>
      </c>
    </row>
    <row r="45" spans="1:7" ht="89.25">
      <c r="A45" s="583" t="s">
        <v>120</v>
      </c>
      <c r="B45" s="502">
        <f>17.51*(B13+B12)</f>
        <v>62498.443000000007</v>
      </c>
      <c r="C45" s="485" t="s">
        <v>1048</v>
      </c>
      <c r="D45" s="579"/>
    </row>
    <row r="46" spans="1:7" ht="51">
      <c r="A46" s="104" t="s">
        <v>51</v>
      </c>
      <c r="B46" s="478">
        <f>(654.11+263.56/3)*G34/1000</f>
        <v>10978.089480000001</v>
      </c>
      <c r="C46" s="511" t="s">
        <v>1052</v>
      </c>
      <c r="D46" s="501" t="s">
        <v>91</v>
      </c>
    </row>
    <row r="47" spans="1:7" ht="51">
      <c r="A47" s="514" t="s">
        <v>52</v>
      </c>
      <c r="B47" s="584">
        <f>((G26/12*6*100.2134)+(G26/12*6*104.2268))+((G26/12*6*100.2134)+(G26/12*6*104.2268))/1.302*25%</f>
        <v>61556.196804215055</v>
      </c>
      <c r="C47" s="582" t="s">
        <v>1051</v>
      </c>
      <c r="D47" s="579"/>
    </row>
    <row r="48" spans="1:7" ht="15.75">
      <c r="A48" s="117" t="s">
        <v>53</v>
      </c>
      <c r="B48" s="99">
        <f>B43+B44+B45+B46+B47</f>
        <v>229277.56714021505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32">
        <f>B50+B51</f>
        <v>0</v>
      </c>
      <c r="C55" s="122"/>
      <c r="D55" s="90"/>
    </row>
    <row r="56" spans="1:4">
      <c r="A56" s="123" t="s">
        <v>61</v>
      </c>
      <c r="B56" s="330">
        <f>3.05*(B13+B12)</f>
        <v>10886.365</v>
      </c>
      <c r="C56" s="325" t="s">
        <v>1049</v>
      </c>
      <c r="D56" s="90"/>
    </row>
    <row r="57" spans="1:4">
      <c r="A57" s="124" t="s">
        <v>62</v>
      </c>
      <c r="B57" s="333">
        <f>1.49*(B13+B12)</f>
        <v>5318.2570000000005</v>
      </c>
      <c r="C57" s="333" t="s">
        <v>1050</v>
      </c>
      <c r="D57" s="90"/>
    </row>
    <row r="58" spans="1:4">
      <c r="A58" s="68" t="s">
        <v>63</v>
      </c>
      <c r="B58" s="335">
        <f>(B41+B48)*0.348</f>
        <v>141297.52467997477</v>
      </c>
      <c r="C58" s="336" t="s">
        <v>514</v>
      </c>
      <c r="D58" s="90"/>
    </row>
    <row r="59" spans="1:4" ht="38.25">
      <c r="A59" s="68" t="s">
        <v>121</v>
      </c>
      <c r="B59" s="125">
        <f>(B41+B48+B58)*0.132</f>
        <v>72246.886067402287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229749.03274737706</v>
      </c>
      <c r="C60" s="122"/>
      <c r="D60" s="90"/>
    </row>
    <row r="61" spans="1:4">
      <c r="A61" s="68" t="s">
        <v>64</v>
      </c>
      <c r="B61" s="88">
        <f>(B41+B48+B55+B60)*3%</f>
        <v>19073.292075522586</v>
      </c>
      <c r="C61" s="120"/>
      <c r="D61" s="90"/>
    </row>
    <row r="62" spans="1:4" ht="15.75">
      <c r="A62" s="128" t="s">
        <v>26</v>
      </c>
      <c r="B62" s="595">
        <f>B41+B48+B55+B60+B61</f>
        <v>654849.69459294213</v>
      </c>
      <c r="C62" s="130"/>
      <c r="D62" s="90"/>
    </row>
    <row r="63" spans="1:4" ht="15.75">
      <c r="A63" s="128" t="s">
        <v>65</v>
      </c>
      <c r="B63" s="595">
        <f>B62*1.2</f>
        <v>785819.63351153058</v>
      </c>
      <c r="C63" s="130"/>
      <c r="D63" s="90"/>
    </row>
    <row r="64" spans="1:4" ht="15.75">
      <c r="A64" s="131"/>
      <c r="B64" s="132">
        <f>B28-B63</f>
        <v>-136442.60951153061</v>
      </c>
      <c r="C64" s="133"/>
      <c r="D64" s="90"/>
    </row>
    <row r="65" spans="1:4" ht="30">
      <c r="A65" s="134" t="s">
        <v>123</v>
      </c>
      <c r="B65" s="135">
        <f>B63/(B12+B13)/12</f>
        <v>18.346726097356406</v>
      </c>
      <c r="C65" s="136" t="s">
        <v>423</v>
      </c>
      <c r="D65" s="137"/>
    </row>
    <row r="66" spans="1:4">
      <c r="A66" s="138"/>
      <c r="D66" s="138"/>
    </row>
    <row r="67" spans="1:4" ht="15" customHeight="1">
      <c r="A67" s="799" t="s">
        <v>124</v>
      </c>
      <c r="B67" s="799"/>
      <c r="C67" s="799"/>
      <c r="D67" s="138"/>
    </row>
    <row r="68" spans="1:4" ht="30" customHeight="1">
      <c r="A68" s="800" t="s">
        <v>518</v>
      </c>
      <c r="B68" s="800"/>
      <c r="C68" s="800"/>
      <c r="D68" s="196"/>
    </row>
    <row r="69" spans="1:4" ht="30" customHeight="1">
      <c r="A69" s="800" t="s">
        <v>519</v>
      </c>
      <c r="B69" s="800"/>
      <c r="C69" s="800"/>
      <c r="D69" s="196"/>
    </row>
    <row r="70" spans="1:4" ht="25.5" customHeight="1">
      <c r="A70" s="160"/>
      <c r="B70" s="453"/>
      <c r="C70" s="193"/>
      <c r="D70" s="138"/>
    </row>
    <row r="71" spans="1:4">
      <c r="A71" s="797" t="s">
        <v>505</v>
      </c>
      <c r="B71" s="797"/>
      <c r="C71" s="797"/>
      <c r="D71" s="138"/>
    </row>
    <row r="72" spans="1:4">
      <c r="A72" s="160"/>
      <c r="B72" s="161"/>
      <c r="C72" s="162"/>
      <c r="D72" s="138"/>
    </row>
    <row r="73" spans="1:4" ht="18.75">
      <c r="A73" s="170"/>
      <c r="B73" s="170"/>
      <c r="C73" s="170"/>
    </row>
    <row r="74" spans="1:4" ht="18.75">
      <c r="A74" s="170"/>
      <c r="B74" s="170"/>
      <c r="C74" s="170"/>
    </row>
    <row r="83" spans="1:4" s="65" customFormat="1">
      <c r="A83" s="66"/>
      <c r="B83" s="66"/>
      <c r="C83" s="66"/>
      <c r="D83" s="67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  <row r="90" spans="1:4" s="65" customFormat="1">
      <c r="A90" s="66"/>
      <c r="B90" s="66"/>
      <c r="C90" s="66"/>
      <c r="D90" s="67"/>
    </row>
  </sheetData>
  <mergeCells count="6">
    <mergeCell ref="A71:C71"/>
    <mergeCell ref="A67:C67"/>
    <mergeCell ref="A8:D8"/>
    <mergeCell ref="A9:D10"/>
    <mergeCell ref="A68:C68"/>
    <mergeCell ref="A69:C69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F0"/>
  </sheetPr>
  <dimension ref="A1:G84"/>
  <sheetViews>
    <sheetView workbookViewId="0">
      <selection activeCell="E1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" style="67" customWidth="1"/>
    <col min="5" max="5" width="4.85546875" style="58" hidden="1" customWidth="1"/>
    <col min="6" max="6" width="26.7109375" style="58" hidden="1" customWidth="1"/>
    <col min="7" max="7" width="8.42578125" style="58" hidden="1" customWidth="1"/>
    <col min="8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34.5" customHeight="1">
      <c r="A8" s="798" t="s">
        <v>478</v>
      </c>
      <c r="B8" s="798"/>
      <c r="C8" s="798"/>
      <c r="D8" s="798"/>
    </row>
    <row r="9" spans="1:7" ht="15" customHeight="1">
      <c r="A9" s="798" t="s">
        <v>118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5670.8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22.36</v>
      </c>
    </row>
    <row r="16" spans="1:7">
      <c r="A16" s="85" t="s">
        <v>7</v>
      </c>
      <c r="B16" s="149">
        <f>B12*22.36*12</f>
        <v>1521589.0560000001</v>
      </c>
      <c r="C16" s="207" t="s">
        <v>1053</v>
      </c>
      <c r="D16" s="86" t="s">
        <v>85</v>
      </c>
      <c r="F16" s="259" t="s">
        <v>134</v>
      </c>
      <c r="G16" s="260">
        <v>5670.8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144</v>
      </c>
    </row>
    <row r="18" spans="1:7" ht="15.75">
      <c r="A18" s="95" t="s">
        <v>12</v>
      </c>
      <c r="B18" s="586">
        <f>B16+B17</f>
        <v>1521589.0560000001</v>
      </c>
      <c r="C18" s="96"/>
      <c r="D18" s="90"/>
      <c r="F18" s="259" t="s">
        <v>136</v>
      </c>
      <c r="G18" s="260">
        <v>338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1073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2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2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1545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1300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770.37</v>
      </c>
    </row>
    <row r="27" spans="1:7">
      <c r="A27" s="97" t="s">
        <v>24</v>
      </c>
      <c r="B27" s="1">
        <v>0</v>
      </c>
      <c r="C27" s="96"/>
      <c r="D27" s="90"/>
      <c r="F27" s="259" t="s">
        <v>460</v>
      </c>
      <c r="G27" s="278">
        <v>12.71</v>
      </c>
    </row>
    <row r="28" spans="1:7" ht="18.75">
      <c r="A28" s="98" t="s">
        <v>26</v>
      </c>
      <c r="B28" s="99">
        <f>B18+B19+B27</f>
        <v>1526778.8160000001</v>
      </c>
      <c r="C28" s="96"/>
      <c r="D28" s="90"/>
      <c r="F28" s="259" t="s">
        <v>461</v>
      </c>
      <c r="G28" s="278">
        <f>(G23/3+G24)/3358</f>
        <v>0.54050029779630737</v>
      </c>
    </row>
    <row r="29" spans="1:7" ht="15.75">
      <c r="A29" s="82" t="s">
        <v>27</v>
      </c>
      <c r="B29" s="100" t="s">
        <v>5</v>
      </c>
      <c r="C29" s="101" t="s">
        <v>28</v>
      </c>
      <c r="D29" s="90"/>
      <c r="F29" s="259" t="s">
        <v>148</v>
      </c>
      <c r="G29" s="278">
        <f>G17/144</f>
        <v>1</v>
      </c>
    </row>
    <row r="30" spans="1:7">
      <c r="A30" s="102" t="s">
        <v>29</v>
      </c>
      <c r="B30" s="88"/>
      <c r="C30" s="103"/>
      <c r="D30" s="90"/>
      <c r="F30" s="259" t="s">
        <v>149</v>
      </c>
      <c r="G30" s="279">
        <f>273.2/820</f>
        <v>0.33317073170731704</v>
      </c>
    </row>
    <row r="31" spans="1:7" ht="51">
      <c r="A31" s="496" t="s">
        <v>30</v>
      </c>
      <c r="B31" s="599">
        <f>(G28*(3708+200)*1.5*1.15*1.083*1.302*6)+G28*((3708+200)*1.5*1.15*1.083*1.302*6)+(0.104*G22*12)</f>
        <v>61656.356995808223</v>
      </c>
      <c r="C31" s="497" t="s">
        <v>1055</v>
      </c>
      <c r="D31" s="600" t="s">
        <v>86</v>
      </c>
      <c r="F31" s="247" t="s">
        <v>151</v>
      </c>
      <c r="G31" s="279">
        <v>9</v>
      </c>
    </row>
    <row r="32" spans="1:7" ht="25.5">
      <c r="A32" s="104" t="s">
        <v>31</v>
      </c>
      <c r="B32" s="601">
        <f>(G30*9921.13*6)+(G30*10317.11*6)</f>
        <v>40456.735375609758</v>
      </c>
      <c r="C32" s="176" t="s">
        <v>1056</v>
      </c>
      <c r="D32" s="234"/>
      <c r="F32" s="247" t="s">
        <v>462</v>
      </c>
      <c r="G32" s="279">
        <v>716</v>
      </c>
    </row>
    <row r="33" spans="1:7" ht="38.25">
      <c r="A33" s="104" t="s">
        <v>32</v>
      </c>
      <c r="B33" s="760">
        <f>(G29*9921.13*6)+(G29*10317.11*6)+(G17*10.41812*12)*G22</f>
        <v>157434.46272000001</v>
      </c>
      <c r="C33" s="198" t="s">
        <v>740</v>
      </c>
      <c r="D33" s="234"/>
      <c r="F33" s="285" t="s">
        <v>463</v>
      </c>
      <c r="G33" s="286">
        <v>716</v>
      </c>
    </row>
    <row r="34" spans="1:7">
      <c r="A34" s="104" t="s">
        <v>34</v>
      </c>
      <c r="B34" s="602">
        <f>(16.06+16.7)*G17</f>
        <v>4717.4399999999996</v>
      </c>
      <c r="C34" s="603" t="s">
        <v>741</v>
      </c>
      <c r="D34" s="234" t="s">
        <v>88</v>
      </c>
      <c r="F34" s="289" t="s">
        <v>464</v>
      </c>
      <c r="G34" s="290">
        <v>24674</v>
      </c>
    </row>
    <row r="35" spans="1:7" ht="36.75" customHeight="1">
      <c r="A35" s="104" t="s">
        <v>35</v>
      </c>
      <c r="B35" s="602">
        <f>(49.72+51.71)*2*0</f>
        <v>0</v>
      </c>
      <c r="C35" s="603" t="s">
        <v>469</v>
      </c>
      <c r="D35" s="234"/>
      <c r="F35" s="247" t="s">
        <v>465</v>
      </c>
      <c r="G35" s="279">
        <v>1</v>
      </c>
    </row>
    <row r="36" spans="1:7">
      <c r="A36" s="104" t="s">
        <v>36</v>
      </c>
      <c r="B36" s="604">
        <f>0.25*G32*12</f>
        <v>2148</v>
      </c>
      <c r="C36" s="605" t="s">
        <v>1057</v>
      </c>
      <c r="D36" s="234" t="s">
        <v>85</v>
      </c>
      <c r="F36" s="247" t="s">
        <v>467</v>
      </c>
      <c r="G36" s="279">
        <v>1</v>
      </c>
    </row>
    <row r="37" spans="1:7" ht="21" customHeight="1">
      <c r="A37" s="106" t="s">
        <v>37</v>
      </c>
      <c r="B37" s="761">
        <f>2.34*G32*4</f>
        <v>6701.7599999999993</v>
      </c>
      <c r="C37" s="606" t="s">
        <v>1058</v>
      </c>
      <c r="D37" s="234" t="s">
        <v>89</v>
      </c>
    </row>
    <row r="38" spans="1:7">
      <c r="A38" s="501" t="s">
        <v>158</v>
      </c>
      <c r="B38" s="502">
        <f>295.34*12</f>
        <v>3544.08</v>
      </c>
      <c r="C38" s="488" t="s">
        <v>1044</v>
      </c>
      <c r="D38" s="579"/>
    </row>
    <row r="39" spans="1:7" ht="25.5">
      <c r="A39" s="501" t="s">
        <v>67</v>
      </c>
      <c r="B39" s="482">
        <f>(635.59*6+661.01*6)*G35</f>
        <v>7779.6</v>
      </c>
      <c r="C39" s="476" t="s">
        <v>496</v>
      </c>
      <c r="D39" s="579" t="s">
        <v>85</v>
      </c>
    </row>
    <row r="40" spans="1:7" ht="25.5">
      <c r="A40" s="501" t="s">
        <v>190</v>
      </c>
      <c r="B40" s="762">
        <f>(466.1*6+484.74*6)*G19</f>
        <v>0</v>
      </c>
      <c r="C40" s="476" t="s">
        <v>497</v>
      </c>
      <c r="D40" s="579" t="s">
        <v>85</v>
      </c>
    </row>
    <row r="41" spans="1:7">
      <c r="A41" s="763" t="s">
        <v>47</v>
      </c>
      <c r="B41" s="551">
        <f>SUM(B31:B40)</f>
        <v>284438.43509141798</v>
      </c>
      <c r="C41" s="485"/>
      <c r="D41" s="477"/>
    </row>
    <row r="42" spans="1:7">
      <c r="A42" s="496" t="s">
        <v>48</v>
      </c>
      <c r="B42" s="487"/>
      <c r="C42" s="485"/>
      <c r="D42" s="477"/>
    </row>
    <row r="43" spans="1:7" s="63" customFormat="1" ht="38.25">
      <c r="A43" s="510" t="s">
        <v>49</v>
      </c>
      <c r="B43" s="580">
        <f>(G27*100.2134*6)+(G27*104.2268)+(1.71*(B13+B12)*12)</f>
        <v>125331.81251199999</v>
      </c>
      <c r="C43" s="582" t="s">
        <v>1059</v>
      </c>
      <c r="D43" s="512"/>
    </row>
    <row r="44" spans="1:7">
      <c r="A44" s="291" t="s">
        <v>50</v>
      </c>
      <c r="B44" s="276">
        <f>15.92*G20*0</f>
        <v>0</v>
      </c>
      <c r="C44" s="424" t="s">
        <v>1060</v>
      </c>
      <c r="D44" s="377" t="s">
        <v>90</v>
      </c>
    </row>
    <row r="45" spans="1:7" ht="89.25">
      <c r="A45" s="583" t="s">
        <v>120</v>
      </c>
      <c r="B45" s="502">
        <f>17.51*(B13+B12)</f>
        <v>99295.708000000013</v>
      </c>
      <c r="C45" s="485" t="s">
        <v>1061</v>
      </c>
      <c r="D45" s="579"/>
    </row>
    <row r="46" spans="1:7" ht="51">
      <c r="A46" s="104" t="s">
        <v>51</v>
      </c>
      <c r="B46" s="478">
        <f>(654.11+263.56/3)*G34/1000</f>
        <v>18307.20328666667</v>
      </c>
      <c r="C46" s="511" t="s">
        <v>1052</v>
      </c>
      <c r="D46" s="501" t="s">
        <v>91</v>
      </c>
    </row>
    <row r="47" spans="1:7" ht="51">
      <c r="A47" s="514" t="s">
        <v>52</v>
      </c>
      <c r="B47" s="584">
        <f>((G26/12*6*100.2134)+(G26/12*6*104.2268))+((G26/12*6*100.2134)+(G26/12*6*104.2268))/1.302*25%</f>
        <v>93867.747445640576</v>
      </c>
      <c r="C47" s="582" t="s">
        <v>1064</v>
      </c>
      <c r="D47" s="579"/>
    </row>
    <row r="48" spans="1:7" ht="15.75">
      <c r="A48" s="117" t="s">
        <v>53</v>
      </c>
      <c r="B48" s="99">
        <f>B43+B44+B45+B46+B47</f>
        <v>336802.47124430723</v>
      </c>
      <c r="C48" s="110"/>
      <c r="D48" s="90"/>
    </row>
    <row r="49" spans="1:4">
      <c r="A49" s="116" t="s">
        <v>54</v>
      </c>
      <c r="B49" s="1"/>
      <c r="C49" s="96"/>
      <c r="D49" s="90"/>
    </row>
    <row r="50" spans="1:4" s="62" customFormat="1" ht="12.75">
      <c r="A50" s="118" t="s">
        <v>55</v>
      </c>
      <c r="B50" s="2">
        <v>0</v>
      </c>
      <c r="C50" s="119"/>
      <c r="D50" s="86"/>
    </row>
    <row r="51" spans="1:4">
      <c r="A51" s="116" t="s">
        <v>56</v>
      </c>
      <c r="B51" s="88">
        <v>0</v>
      </c>
      <c r="C51" s="120"/>
      <c r="D51" s="90"/>
    </row>
    <row r="52" spans="1:4">
      <c r="A52" s="116" t="s">
        <v>57</v>
      </c>
      <c r="B52" s="88"/>
      <c r="C52" s="120"/>
      <c r="D52" s="90"/>
    </row>
    <row r="53" spans="1:4">
      <c r="A53" s="116" t="s">
        <v>58</v>
      </c>
      <c r="B53" s="88"/>
      <c r="C53" s="120"/>
      <c r="D53" s="90"/>
    </row>
    <row r="54" spans="1:4">
      <c r="A54" s="116" t="s">
        <v>59</v>
      </c>
      <c r="B54" s="88"/>
      <c r="C54" s="120"/>
      <c r="D54" s="90"/>
    </row>
    <row r="55" spans="1:4" ht="15.75">
      <c r="A55" s="117" t="s">
        <v>60</v>
      </c>
      <c r="B55" s="132">
        <f>B50+B51</f>
        <v>0</v>
      </c>
      <c r="C55" s="122"/>
      <c r="D55" s="90"/>
    </row>
    <row r="56" spans="1:4">
      <c r="A56" s="123" t="s">
        <v>61</v>
      </c>
      <c r="B56" s="330">
        <f>3.05*(B13+B12)</f>
        <v>17295.939999999999</v>
      </c>
      <c r="C56" s="325" t="s">
        <v>1062</v>
      </c>
      <c r="D56" s="90"/>
    </row>
    <row r="57" spans="1:4">
      <c r="A57" s="124" t="s">
        <v>62</v>
      </c>
      <c r="B57" s="333">
        <f>1.49*(B13+B12)</f>
        <v>8449.4920000000002</v>
      </c>
      <c r="C57" s="333" t="s">
        <v>1063</v>
      </c>
      <c r="D57" s="90"/>
    </row>
    <row r="58" spans="1:4">
      <c r="A58" s="68" t="s">
        <v>63</v>
      </c>
      <c r="B58" s="335">
        <f>(B41+B48)*0.348</f>
        <v>216191.83540483235</v>
      </c>
      <c r="C58" s="336" t="s">
        <v>514</v>
      </c>
      <c r="D58" s="90"/>
    </row>
    <row r="59" spans="1:4" ht="38.25">
      <c r="A59" s="68" t="s">
        <v>121</v>
      </c>
      <c r="B59" s="125">
        <f>(B41+B48+B58)*0.132</f>
        <v>110541.12190975361</v>
      </c>
      <c r="C59" s="69" t="s">
        <v>225</v>
      </c>
      <c r="D59" s="90" t="s">
        <v>85</v>
      </c>
    </row>
    <row r="60" spans="1:4" ht="15.75">
      <c r="A60" s="127" t="s">
        <v>122</v>
      </c>
      <c r="B60" s="132">
        <f>B56+B57+B58+B59</f>
        <v>352478.38931458595</v>
      </c>
      <c r="C60" s="122"/>
      <c r="D60" s="90"/>
    </row>
    <row r="61" spans="1:4">
      <c r="A61" s="68" t="s">
        <v>64</v>
      </c>
      <c r="B61" s="88">
        <f>(B41+B48+B55+B60)*3%</f>
        <v>29211.578869509332</v>
      </c>
      <c r="C61" s="120"/>
      <c r="D61" s="90"/>
    </row>
    <row r="62" spans="1:4" ht="15.75">
      <c r="A62" s="128" t="s">
        <v>26</v>
      </c>
      <c r="B62" s="595">
        <f>B41+B48+B55+B60+B61</f>
        <v>1002930.8745198204</v>
      </c>
      <c r="C62" s="130"/>
      <c r="D62" s="90"/>
    </row>
    <row r="63" spans="1:4" ht="15.75">
      <c r="A63" s="128" t="s">
        <v>65</v>
      </c>
      <c r="B63" s="595">
        <f>B62*1.2</f>
        <v>1203517.0494237845</v>
      </c>
      <c r="C63" s="130"/>
      <c r="D63" s="90"/>
    </row>
    <row r="64" spans="1:4" ht="15.75">
      <c r="A64" s="131"/>
      <c r="B64" s="132">
        <f>B28-B63</f>
        <v>323261.76657621562</v>
      </c>
      <c r="C64" s="133"/>
      <c r="D64" s="90"/>
    </row>
    <row r="65" spans="1:4" ht="30">
      <c r="A65" s="134" t="s">
        <v>123</v>
      </c>
      <c r="B65" s="135">
        <f>B63/(B12+B13)/12</f>
        <v>17.68587984975348</v>
      </c>
      <c r="C65" s="136" t="s">
        <v>424</v>
      </c>
      <c r="D65" s="137"/>
    </row>
    <row r="66" spans="1:4">
      <c r="A66" s="138"/>
      <c r="D66" s="138"/>
    </row>
    <row r="67" spans="1:4">
      <c r="A67" s="160"/>
      <c r="B67" s="161"/>
      <c r="C67" s="162"/>
      <c r="D67" s="138"/>
    </row>
    <row r="68" spans="1:4">
      <c r="A68" s="799" t="s">
        <v>124</v>
      </c>
      <c r="B68" s="799"/>
      <c r="C68" s="799"/>
    </row>
    <row r="69" spans="1:4" ht="30.75" customHeight="1">
      <c r="A69" s="800" t="s">
        <v>518</v>
      </c>
      <c r="B69" s="800"/>
      <c r="C69" s="800"/>
    </row>
    <row r="70" spans="1:4" ht="30.75" customHeight="1">
      <c r="A70" s="800" t="s">
        <v>519</v>
      </c>
      <c r="B70" s="800"/>
      <c r="C70" s="800"/>
    </row>
    <row r="71" spans="1:4">
      <c r="A71" s="160"/>
      <c r="B71" s="453"/>
      <c r="C71" s="193"/>
    </row>
    <row r="72" spans="1:4">
      <c r="A72" s="797" t="s">
        <v>505</v>
      </c>
      <c r="B72" s="797"/>
      <c r="C72" s="797"/>
    </row>
    <row r="77" spans="1:4" s="65" customFormat="1">
      <c r="A77" s="66"/>
      <c r="B77" s="66"/>
      <c r="C77" s="66"/>
      <c r="D77" s="67"/>
    </row>
    <row r="78" spans="1:4" s="65" customFormat="1">
      <c r="A78" s="66"/>
      <c r="B78" s="66"/>
      <c r="C78" s="66"/>
      <c r="D78" s="67"/>
    </row>
    <row r="79" spans="1:4" s="65" customFormat="1">
      <c r="A79" s="66"/>
      <c r="B79" s="66"/>
      <c r="C79" s="66"/>
      <c r="D79" s="67"/>
    </row>
    <row r="80" spans="1:4" s="65" customFormat="1">
      <c r="A80" s="66"/>
      <c r="B80" s="66"/>
      <c r="C80" s="66"/>
      <c r="D80" s="67"/>
    </row>
    <row r="81" spans="1:4" s="65" customFormat="1">
      <c r="A81" s="66"/>
      <c r="B81" s="66"/>
      <c r="C81" s="66"/>
      <c r="D81" s="67"/>
    </row>
    <row r="82" spans="1:4" s="65" customFormat="1">
      <c r="A82" s="66"/>
      <c r="B82" s="66"/>
      <c r="C82" s="66"/>
      <c r="D82" s="67"/>
    </row>
    <row r="83" spans="1:4" s="65" customFormat="1">
      <c r="A83" s="66"/>
      <c r="B83" s="66"/>
      <c r="C83" s="66"/>
      <c r="D83" s="67"/>
    </row>
    <row r="84" spans="1:4" s="65" customFormat="1">
      <c r="A84" s="66"/>
      <c r="B84" s="66"/>
      <c r="C84" s="66"/>
      <c r="D84" s="67"/>
    </row>
  </sheetData>
  <mergeCells count="6">
    <mergeCell ref="A69:C69"/>
    <mergeCell ref="A70:C70"/>
    <mergeCell ref="A72:C72"/>
    <mergeCell ref="A68:C68"/>
    <mergeCell ref="A8:D8"/>
    <mergeCell ref="A9:D10"/>
  </mergeCells>
  <pageMargins left="0.51181102362204722" right="0.11811023622047244" top="0.15748031496062992" bottom="0.15748031496062992" header="0.31496062992125984" footer="0.31496062992125984"/>
  <pageSetup paperSize="9" scale="85" orientation="portrait" verticalDpi="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F0"/>
  </sheetPr>
  <dimension ref="A1:G89"/>
  <sheetViews>
    <sheetView topLeftCell="A6" workbookViewId="0">
      <selection activeCell="E6" sqref="E1:G1048576"/>
    </sheetView>
  </sheetViews>
  <sheetFormatPr defaultColWidth="9.140625" defaultRowHeight="15"/>
  <cols>
    <col min="1" max="1" width="44.7109375" style="66" customWidth="1"/>
    <col min="2" max="2" width="14.5703125" style="66" customWidth="1"/>
    <col min="3" max="3" width="33.42578125" style="66" customWidth="1"/>
    <col min="4" max="4" width="18.140625" style="67" customWidth="1"/>
    <col min="5" max="5" width="9.140625" style="58" hidden="1" customWidth="1"/>
    <col min="6" max="6" width="26.7109375" style="58" hidden="1" customWidth="1"/>
    <col min="7" max="7" width="8.42578125" style="58" hidden="1" customWidth="1"/>
    <col min="8" max="8" width="9.140625" style="58" customWidth="1"/>
    <col min="9" max="16384" width="9.140625" style="58"/>
  </cols>
  <sheetData>
    <row r="1" spans="1:7" ht="15.75">
      <c r="C1" s="163" t="s">
        <v>0</v>
      </c>
    </row>
    <row r="2" spans="1:7" ht="15.75">
      <c r="C2" s="163" t="s">
        <v>216</v>
      </c>
    </row>
    <row r="3" spans="1:7" ht="15.75">
      <c r="C3" s="163" t="s">
        <v>189</v>
      </c>
    </row>
    <row r="4" spans="1:7" ht="15.75">
      <c r="C4" s="163"/>
    </row>
    <row r="5" spans="1:7" ht="15.75">
      <c r="C5" s="163" t="s">
        <v>217</v>
      </c>
    </row>
    <row r="6" spans="1:7" ht="15.75">
      <c r="C6" s="70"/>
    </row>
    <row r="7" spans="1:7" ht="15.75">
      <c r="C7" s="70"/>
    </row>
    <row r="8" spans="1:7" ht="31.5" customHeight="1">
      <c r="A8" s="798" t="s">
        <v>478</v>
      </c>
      <c r="B8" s="798"/>
      <c r="C8" s="798"/>
      <c r="D8" s="798"/>
    </row>
    <row r="9" spans="1:7" ht="15" customHeight="1">
      <c r="A9" s="798" t="s">
        <v>119</v>
      </c>
      <c r="B9" s="798"/>
      <c r="C9" s="798"/>
      <c r="D9" s="798"/>
    </row>
    <row r="10" spans="1:7" ht="15" customHeight="1">
      <c r="A10" s="798"/>
      <c r="B10" s="798"/>
      <c r="C10" s="798"/>
      <c r="D10" s="798"/>
    </row>
    <row r="11" spans="1:7" ht="15.75">
      <c r="A11" s="73"/>
      <c r="B11" s="73"/>
      <c r="C11" s="73"/>
    </row>
    <row r="12" spans="1:7" ht="15.75">
      <c r="A12" s="74" t="s">
        <v>2</v>
      </c>
      <c r="B12" s="75">
        <v>5665.5</v>
      </c>
      <c r="C12" s="76" t="s">
        <v>72</v>
      </c>
    </row>
    <row r="13" spans="1:7" s="59" customFormat="1" ht="15.75">
      <c r="A13" s="77" t="s">
        <v>3</v>
      </c>
      <c r="B13" s="78">
        <v>0</v>
      </c>
      <c r="C13" s="79"/>
      <c r="D13" s="80"/>
    </row>
    <row r="14" spans="1:7" s="59" customFormat="1" ht="15.75">
      <c r="A14" s="77"/>
      <c r="B14" s="78"/>
      <c r="C14" s="79"/>
      <c r="D14" s="80"/>
    </row>
    <row r="15" spans="1:7" ht="31.5">
      <c r="A15" s="81" t="s">
        <v>4</v>
      </c>
      <c r="B15" s="82" t="s">
        <v>5</v>
      </c>
      <c r="C15" s="83" t="s">
        <v>661</v>
      </c>
      <c r="D15" s="84" t="s">
        <v>84</v>
      </c>
      <c r="F15" s="253" t="s">
        <v>132</v>
      </c>
      <c r="G15" s="254">
        <v>20.5</v>
      </c>
    </row>
    <row r="16" spans="1:7">
      <c r="A16" s="85" t="s">
        <v>7</v>
      </c>
      <c r="B16" s="149">
        <f>B12*20.5*12</f>
        <v>1393713</v>
      </c>
      <c r="C16" s="207" t="s">
        <v>1066</v>
      </c>
      <c r="D16" s="86" t="s">
        <v>85</v>
      </c>
      <c r="F16" s="259" t="s">
        <v>134</v>
      </c>
      <c r="G16" s="260">
        <v>5665.5</v>
      </c>
    </row>
    <row r="17" spans="1:7">
      <c r="A17" s="91" t="s">
        <v>9</v>
      </c>
      <c r="B17" s="88">
        <v>0</v>
      </c>
      <c r="C17" s="89"/>
      <c r="D17" s="90"/>
      <c r="F17" s="259" t="s">
        <v>135</v>
      </c>
      <c r="G17" s="260">
        <v>108</v>
      </c>
    </row>
    <row r="18" spans="1:7" ht="15.75">
      <c r="A18" s="95" t="s">
        <v>12</v>
      </c>
      <c r="B18" s="586">
        <f>B16+B17</f>
        <v>1393713</v>
      </c>
      <c r="C18" s="96"/>
      <c r="D18" s="90"/>
      <c r="F18" s="259" t="s">
        <v>136</v>
      </c>
      <c r="G18" s="260">
        <v>372</v>
      </c>
    </row>
    <row r="19" spans="1:7">
      <c r="A19" s="97" t="s">
        <v>13</v>
      </c>
      <c r="B19" s="1">
        <f>B20+B21+B22+B23+B24+B25+B26</f>
        <v>5189.76</v>
      </c>
      <c r="C19" s="96"/>
      <c r="D19" s="90"/>
      <c r="F19" s="247" t="s">
        <v>459</v>
      </c>
      <c r="G19" s="248">
        <v>0</v>
      </c>
    </row>
    <row r="20" spans="1:7">
      <c r="A20" s="68" t="s">
        <v>14</v>
      </c>
      <c r="B20" s="1">
        <f>34.98*12</f>
        <v>419.76</v>
      </c>
      <c r="C20" s="96" t="s">
        <v>15</v>
      </c>
      <c r="D20" s="90" t="s">
        <v>85</v>
      </c>
      <c r="F20" s="259" t="s">
        <v>139</v>
      </c>
      <c r="G20" s="260">
        <v>932</v>
      </c>
    </row>
    <row r="21" spans="1:7">
      <c r="A21" s="68" t="s">
        <v>16</v>
      </c>
      <c r="B21" s="1">
        <f>137.5*12*0</f>
        <v>0</v>
      </c>
      <c r="C21" s="96" t="s">
        <v>17</v>
      </c>
      <c r="D21" s="90"/>
      <c r="F21" s="259" t="s">
        <v>140</v>
      </c>
      <c r="G21" s="260">
        <v>3</v>
      </c>
    </row>
    <row r="22" spans="1:7">
      <c r="A22" s="68" t="s">
        <v>18</v>
      </c>
      <c r="B22" s="1">
        <f>123.75*12</f>
        <v>1485</v>
      </c>
      <c r="C22" s="96" t="s">
        <v>19</v>
      </c>
      <c r="D22" s="90" t="s">
        <v>85</v>
      </c>
      <c r="F22" s="259" t="s">
        <v>141</v>
      </c>
      <c r="G22" s="260">
        <v>3</v>
      </c>
    </row>
    <row r="23" spans="1:7">
      <c r="A23" s="68" t="s">
        <v>20</v>
      </c>
      <c r="B23" s="1">
        <f>123.75*12</f>
        <v>1485</v>
      </c>
      <c r="C23" s="96" t="s">
        <v>19</v>
      </c>
      <c r="D23" s="90" t="s">
        <v>85</v>
      </c>
      <c r="F23" s="259" t="s">
        <v>142</v>
      </c>
      <c r="G23" s="260">
        <v>1914</v>
      </c>
    </row>
    <row r="24" spans="1:7">
      <c r="A24" s="68" t="s">
        <v>66</v>
      </c>
      <c r="B24" s="1">
        <f>150*12</f>
        <v>1800</v>
      </c>
      <c r="C24" s="96" t="s">
        <v>21</v>
      </c>
      <c r="D24" s="90" t="s">
        <v>85</v>
      </c>
      <c r="F24" s="259" t="s">
        <v>143</v>
      </c>
      <c r="G24" s="277">
        <v>3521.3</v>
      </c>
    </row>
    <row r="25" spans="1:7">
      <c r="A25" s="68" t="s">
        <v>22</v>
      </c>
      <c r="B25" s="1">
        <f>137.5*12*0</f>
        <v>0</v>
      </c>
      <c r="C25" s="96" t="s">
        <v>17</v>
      </c>
      <c r="D25" s="90"/>
      <c r="F25" s="259" t="s">
        <v>144</v>
      </c>
      <c r="G25" s="278">
        <v>0</v>
      </c>
    </row>
    <row r="26" spans="1:7">
      <c r="A26" s="68" t="s">
        <v>23</v>
      </c>
      <c r="B26" s="1">
        <f>150*12*0</f>
        <v>0</v>
      </c>
      <c r="C26" s="96" t="s">
        <v>21</v>
      </c>
      <c r="D26" s="90"/>
      <c r="F26" s="259" t="s">
        <v>145</v>
      </c>
      <c r="G26" s="278">
        <v>714.73</v>
      </c>
    </row>
    <row r="27" spans="1:7">
      <c r="A27" s="97" t="s">
        <v>24</v>
      </c>
      <c r="B27" s="1">
        <f>B28</f>
        <v>0</v>
      </c>
      <c r="C27" s="96"/>
      <c r="D27" s="90"/>
      <c r="F27" s="259" t="s">
        <v>460</v>
      </c>
      <c r="G27" s="278">
        <v>12.79</v>
      </c>
    </row>
    <row r="28" spans="1:7">
      <c r="A28" s="68"/>
      <c r="B28" s="1"/>
      <c r="C28" s="96"/>
      <c r="D28" s="90"/>
      <c r="F28" s="259" t="s">
        <v>461</v>
      </c>
      <c r="G28" s="278">
        <f>(G23/3+G24)/3358</f>
        <v>1.2386241810601548</v>
      </c>
    </row>
    <row r="29" spans="1:7" ht="18.75">
      <c r="A29" s="98" t="s">
        <v>26</v>
      </c>
      <c r="B29" s="99">
        <f>B18+B19+B27</f>
        <v>1398902.76</v>
      </c>
      <c r="C29" s="96"/>
      <c r="D29" s="90"/>
      <c r="F29" s="259" t="s">
        <v>148</v>
      </c>
      <c r="G29" s="278">
        <f>G17/144</f>
        <v>0.75</v>
      </c>
    </row>
    <row r="30" spans="1:7" ht="15.75">
      <c r="A30" s="82" t="s">
        <v>27</v>
      </c>
      <c r="B30" s="100" t="s">
        <v>5</v>
      </c>
      <c r="C30" s="101" t="s">
        <v>28</v>
      </c>
      <c r="D30" s="90"/>
      <c r="F30" s="259" t="s">
        <v>149</v>
      </c>
      <c r="G30" s="279">
        <v>0</v>
      </c>
    </row>
    <row r="31" spans="1:7">
      <c r="A31" s="102" t="s">
        <v>29</v>
      </c>
      <c r="B31" s="88"/>
      <c r="C31" s="103"/>
      <c r="D31" s="90"/>
      <c r="F31" s="247" t="s">
        <v>151</v>
      </c>
      <c r="G31" s="279">
        <v>9</v>
      </c>
    </row>
    <row r="32" spans="1:7" ht="51">
      <c r="A32" s="104" t="s">
        <v>30</v>
      </c>
      <c r="B32" s="750">
        <f>(G28*(3708+200)*1.5*1.15*1.083*1.302*6)+(G28*(3856+200)*1.5*1.15*1.083*1.302*6)+(0.104*G23*12)</f>
        <v>146351.57523257835</v>
      </c>
      <c r="C32" s="497" t="s">
        <v>1067</v>
      </c>
      <c r="D32" s="579" t="s">
        <v>86</v>
      </c>
      <c r="F32" s="247" t="s">
        <v>462</v>
      </c>
      <c r="G32" s="279">
        <v>921</v>
      </c>
    </row>
    <row r="33" spans="1:7" ht="25.5">
      <c r="A33" s="104" t="s">
        <v>31</v>
      </c>
      <c r="B33" s="601">
        <f>(G30*9921.13*6)+(G30*10317.11*6)</f>
        <v>0</v>
      </c>
      <c r="C33" s="198" t="s">
        <v>1068</v>
      </c>
      <c r="D33" s="579"/>
      <c r="F33" s="285" t="s">
        <v>463</v>
      </c>
      <c r="G33" s="286">
        <v>921</v>
      </c>
    </row>
    <row r="34" spans="1:7" ht="38.25">
      <c r="A34" s="104" t="s">
        <v>32</v>
      </c>
      <c r="B34" s="175">
        <f>(G29*9921.13*6)+(G29*10317.11*6)+(G17*10.95538*12)*G22</f>
        <v>133666.59743999998</v>
      </c>
      <c r="C34" s="198" t="s">
        <v>913</v>
      </c>
      <c r="D34" s="579"/>
      <c r="F34" s="289" t="s">
        <v>464</v>
      </c>
      <c r="G34" s="290">
        <v>24219</v>
      </c>
    </row>
    <row r="35" spans="1:7">
      <c r="A35" s="104" t="s">
        <v>34</v>
      </c>
      <c r="B35" s="580">
        <f>(16.06+16.7)*G17</f>
        <v>3538.08</v>
      </c>
      <c r="C35" s="476" t="s">
        <v>914</v>
      </c>
      <c r="D35" s="579" t="s">
        <v>88</v>
      </c>
      <c r="F35" s="247" t="s">
        <v>465</v>
      </c>
      <c r="G35" s="279">
        <v>1</v>
      </c>
    </row>
    <row r="36" spans="1:7" ht="36.75" customHeight="1">
      <c r="A36" s="104" t="s">
        <v>35</v>
      </c>
      <c r="B36" s="580">
        <f>(49.72+51.71)*2*G20*0</f>
        <v>0</v>
      </c>
      <c r="C36" s="476" t="s">
        <v>469</v>
      </c>
      <c r="D36" s="579"/>
      <c r="F36" s="247" t="s">
        <v>467</v>
      </c>
      <c r="G36" s="279">
        <v>2</v>
      </c>
    </row>
    <row r="37" spans="1:7">
      <c r="A37" s="104" t="s">
        <v>36</v>
      </c>
      <c r="B37" s="580">
        <f>0.25*G32*12</f>
        <v>2763</v>
      </c>
      <c r="C37" s="476" t="s">
        <v>1069</v>
      </c>
      <c r="D37" s="579" t="s">
        <v>85</v>
      </c>
    </row>
    <row r="38" spans="1:7" ht="19.5" customHeight="1">
      <c r="A38" s="106" t="s">
        <v>37</v>
      </c>
      <c r="B38" s="580">
        <f>2.34*G32*4</f>
        <v>8620.56</v>
      </c>
      <c r="C38" s="476" t="s">
        <v>1070</v>
      </c>
      <c r="D38" s="579" t="s">
        <v>89</v>
      </c>
    </row>
    <row r="39" spans="1:7" ht="25.5">
      <c r="A39" s="501" t="s">
        <v>67</v>
      </c>
      <c r="B39" s="482">
        <f>(635.59*6+661.01*6)*G35</f>
        <v>7779.6</v>
      </c>
      <c r="C39" s="476" t="s">
        <v>844</v>
      </c>
      <c r="D39" s="579" t="s">
        <v>85</v>
      </c>
    </row>
    <row r="40" spans="1:7" ht="25.5">
      <c r="A40" s="501" t="s">
        <v>190</v>
      </c>
      <c r="B40" s="4">
        <f>(466.1*6+484.74*6)*G19</f>
        <v>0</v>
      </c>
      <c r="C40" s="476" t="s">
        <v>845</v>
      </c>
      <c r="D40" s="579" t="s">
        <v>85</v>
      </c>
    </row>
    <row r="41" spans="1:7">
      <c r="A41" s="476" t="s">
        <v>529</v>
      </c>
      <c r="B41" s="483">
        <f>3750*12*G21</f>
        <v>135000</v>
      </c>
      <c r="C41" s="501" t="s">
        <v>917</v>
      </c>
      <c r="D41" s="504" t="s">
        <v>85</v>
      </c>
    </row>
    <row r="42" spans="1:7">
      <c r="A42" s="476" t="s">
        <v>530</v>
      </c>
      <c r="B42" s="581">
        <f>4190*G21</f>
        <v>12570</v>
      </c>
      <c r="C42" s="501" t="s">
        <v>130</v>
      </c>
      <c r="D42" s="751" t="s">
        <v>532</v>
      </c>
    </row>
    <row r="43" spans="1:7">
      <c r="A43" s="506" t="s">
        <v>533</v>
      </c>
      <c r="B43" s="483">
        <f>0*12</f>
        <v>0</v>
      </c>
      <c r="C43" s="752" t="s">
        <v>847</v>
      </c>
      <c r="D43" s="505" t="s">
        <v>159</v>
      </c>
    </row>
    <row r="44" spans="1:7" s="63" customFormat="1" ht="12.75">
      <c r="A44" s="611" t="s">
        <v>47</v>
      </c>
      <c r="B44" s="586">
        <f>SUM(B32:B43)</f>
        <v>450289.41267257836</v>
      </c>
      <c r="C44" s="753"/>
      <c r="D44" s="579"/>
    </row>
    <row r="45" spans="1:7">
      <c r="A45" s="104" t="s">
        <v>48</v>
      </c>
      <c r="B45" s="1"/>
      <c r="C45" s="753"/>
      <c r="D45" s="579"/>
    </row>
    <row r="46" spans="1:7" ht="38.25">
      <c r="A46" s="112" t="s">
        <v>49</v>
      </c>
      <c r="B46" s="580">
        <f>(G27*100.2134*6)+(G27*104.2268*6)+(1.71*(B12+B13)*12)</f>
        <v>131944.80094799999</v>
      </c>
      <c r="C46" s="511" t="s">
        <v>1071</v>
      </c>
      <c r="D46" s="512"/>
    </row>
    <row r="47" spans="1:7">
      <c r="A47" s="106" t="s">
        <v>50</v>
      </c>
      <c r="B47" s="1">
        <f>15.92*G20*0</f>
        <v>0</v>
      </c>
      <c r="C47" s="511" t="s">
        <v>1020</v>
      </c>
      <c r="D47" s="579" t="s">
        <v>90</v>
      </c>
    </row>
    <row r="48" spans="1:7" ht="89.25">
      <c r="A48" s="583" t="s">
        <v>120</v>
      </c>
      <c r="B48" s="199">
        <f>17.51*(B12+B13)</f>
        <v>99202.905000000013</v>
      </c>
      <c r="C48" s="754" t="s">
        <v>1072</v>
      </c>
      <c r="D48" s="579"/>
    </row>
    <row r="49" spans="1:4" ht="51">
      <c r="A49" s="104" t="s">
        <v>51</v>
      </c>
      <c r="B49" s="478">
        <f>(654.11+263.56/3)*G34/1000</f>
        <v>17969.609970000001</v>
      </c>
      <c r="C49" s="511" t="s">
        <v>1075</v>
      </c>
      <c r="D49" s="501" t="s">
        <v>91</v>
      </c>
    </row>
    <row r="50" spans="1:4" ht="51">
      <c r="A50" s="116" t="s">
        <v>52</v>
      </c>
      <c r="B50" s="584">
        <f>((G26/12*6*100.2134)+(G26/12*6*104.2268))+((G26/12*6*100.2134)+(G26/12*6*104.2268))/1.302*25%</f>
        <v>87088.146126955457</v>
      </c>
      <c r="C50" s="511" t="s">
        <v>1076</v>
      </c>
      <c r="D50" s="579"/>
    </row>
    <row r="51" spans="1:4" ht="15.75">
      <c r="A51" s="117" t="s">
        <v>53</v>
      </c>
      <c r="B51" s="99">
        <f>B46+B47+B48+B49+B50</f>
        <v>336205.46204495546</v>
      </c>
      <c r="C51" s="110"/>
      <c r="D51" s="90"/>
    </row>
    <row r="52" spans="1:4">
      <c r="A52" s="116" t="s">
        <v>54</v>
      </c>
      <c r="B52" s="1"/>
      <c r="C52" s="96"/>
      <c r="D52" s="90"/>
    </row>
    <row r="53" spans="1:4" s="62" customFormat="1" ht="12.75">
      <c r="A53" s="118" t="s">
        <v>55</v>
      </c>
      <c r="B53" s="2">
        <v>0</v>
      </c>
      <c r="C53" s="119"/>
      <c r="D53" s="86"/>
    </row>
    <row r="54" spans="1:4">
      <c r="A54" s="116" t="s">
        <v>56</v>
      </c>
      <c r="B54" s="88">
        <v>0</v>
      </c>
      <c r="C54" s="120"/>
      <c r="D54" s="90"/>
    </row>
    <row r="55" spans="1:4">
      <c r="A55" s="116" t="s">
        <v>57</v>
      </c>
      <c r="B55" s="88"/>
      <c r="C55" s="120"/>
      <c r="D55" s="90"/>
    </row>
    <row r="56" spans="1:4">
      <c r="A56" s="116" t="s">
        <v>58</v>
      </c>
      <c r="B56" s="88"/>
      <c r="C56" s="120"/>
      <c r="D56" s="90"/>
    </row>
    <row r="57" spans="1:4">
      <c r="A57" s="116" t="s">
        <v>59</v>
      </c>
      <c r="B57" s="88"/>
      <c r="C57" s="120"/>
      <c r="D57" s="90"/>
    </row>
    <row r="58" spans="1:4" ht="15.75">
      <c r="A58" s="117" t="s">
        <v>60</v>
      </c>
      <c r="B58" s="132">
        <f>B53+B54</f>
        <v>0</v>
      </c>
      <c r="C58" s="122"/>
      <c r="D58" s="90"/>
    </row>
    <row r="59" spans="1:4">
      <c r="A59" s="123" t="s">
        <v>61</v>
      </c>
      <c r="B59" s="330">
        <f>3.05*(B12+B13)</f>
        <v>17279.774999999998</v>
      </c>
      <c r="C59" s="325" t="s">
        <v>1073</v>
      </c>
      <c r="D59" s="90"/>
    </row>
    <row r="60" spans="1:4">
      <c r="A60" s="124" t="s">
        <v>62</v>
      </c>
      <c r="B60" s="333">
        <f>1.49*(B12+B13)</f>
        <v>8441.5949999999993</v>
      </c>
      <c r="C60" s="333" t="s">
        <v>1074</v>
      </c>
      <c r="D60" s="90"/>
    </row>
    <row r="61" spans="1:4">
      <c r="A61" s="68" t="s">
        <v>63</v>
      </c>
      <c r="B61" s="335">
        <f>(B44+B51)*0.348</f>
        <v>273700.21640170173</v>
      </c>
      <c r="C61" s="336" t="s">
        <v>514</v>
      </c>
      <c r="D61" s="90"/>
    </row>
    <row r="62" spans="1:4" ht="38.25">
      <c r="A62" s="68" t="s">
        <v>121</v>
      </c>
      <c r="B62" s="125">
        <f>(B44+B51+B61)*0.132</f>
        <v>139945.7520277391</v>
      </c>
      <c r="C62" s="69" t="s">
        <v>225</v>
      </c>
      <c r="D62" s="90" t="s">
        <v>85</v>
      </c>
    </row>
    <row r="63" spans="1:4" ht="15.75">
      <c r="A63" s="127" t="s">
        <v>122</v>
      </c>
      <c r="B63" s="132">
        <f>B59+B60+B61+B62</f>
        <v>439367.33842944086</v>
      </c>
      <c r="C63" s="122"/>
      <c r="D63" s="90"/>
    </row>
    <row r="64" spans="1:4">
      <c r="A64" s="68" t="s">
        <v>64</v>
      </c>
      <c r="B64" s="88">
        <f>(B44+B51+B58+B63)*3%</f>
        <v>36775.86639440924</v>
      </c>
      <c r="C64" s="120"/>
      <c r="D64" s="90"/>
    </row>
    <row r="65" spans="1:4" ht="15.75">
      <c r="A65" s="128" t="s">
        <v>26</v>
      </c>
      <c r="B65" s="595">
        <f>B44+B51+B58+B63+B64</f>
        <v>1262638.079541384</v>
      </c>
      <c r="C65" s="130"/>
      <c r="D65" s="90"/>
    </row>
    <row r="66" spans="1:4" ht="15.75">
      <c r="A66" s="128" t="s">
        <v>65</v>
      </c>
      <c r="B66" s="595">
        <f>B65*1.2</f>
        <v>1515165.6954496608</v>
      </c>
      <c r="C66" s="130"/>
      <c r="D66" s="90"/>
    </row>
    <row r="67" spans="1:4" ht="15.75">
      <c r="A67" s="131"/>
      <c r="B67" s="132">
        <f>B29-B66</f>
        <v>-116262.93544966076</v>
      </c>
      <c r="C67" s="133"/>
      <c r="D67" s="90"/>
    </row>
    <row r="68" spans="1:4" ht="30">
      <c r="A68" s="134" t="s">
        <v>123</v>
      </c>
      <c r="B68" s="135">
        <f>B66/(B12+B13)/12</f>
        <v>22.286436846551652</v>
      </c>
      <c r="C68" s="136" t="s">
        <v>425</v>
      </c>
      <c r="D68" s="137"/>
    </row>
    <row r="69" spans="1:4">
      <c r="A69" s="138"/>
      <c r="D69" s="138"/>
    </row>
    <row r="70" spans="1:4" ht="25.5" customHeight="1">
      <c r="A70" s="799" t="s">
        <v>124</v>
      </c>
      <c r="B70" s="799"/>
      <c r="C70" s="799"/>
      <c r="D70" s="138"/>
    </row>
    <row r="71" spans="1:4" ht="29.25" customHeight="1">
      <c r="A71" s="800" t="s">
        <v>518</v>
      </c>
      <c r="B71" s="800"/>
      <c r="C71" s="800"/>
      <c r="D71" s="138"/>
    </row>
    <row r="72" spans="1:4" ht="29.25" customHeight="1">
      <c r="A72" s="800" t="s">
        <v>519</v>
      </c>
      <c r="B72" s="800"/>
      <c r="C72" s="800"/>
      <c r="D72" s="138"/>
    </row>
    <row r="73" spans="1:4">
      <c r="A73" s="160"/>
      <c r="B73" s="453"/>
      <c r="C73" s="193"/>
    </row>
    <row r="74" spans="1:4">
      <c r="A74" s="797" t="s">
        <v>505</v>
      </c>
      <c r="B74" s="797"/>
      <c r="C74" s="797"/>
    </row>
    <row r="82" spans="1:4" s="65" customFormat="1">
      <c r="A82" s="66"/>
      <c r="B82" s="66"/>
      <c r="C82" s="66"/>
      <c r="D82" s="67"/>
    </row>
    <row r="83" spans="1:4" s="65" customFormat="1">
      <c r="A83" s="66"/>
      <c r="B83" s="66"/>
      <c r="C83" s="66"/>
      <c r="D83" s="67"/>
    </row>
    <row r="84" spans="1:4" s="65" customFormat="1">
      <c r="A84" s="66"/>
      <c r="B84" s="66"/>
      <c r="C84" s="66"/>
      <c r="D84" s="67"/>
    </row>
    <row r="85" spans="1:4" s="65" customFormat="1">
      <c r="A85" s="66"/>
      <c r="B85" s="66"/>
      <c r="C85" s="66"/>
      <c r="D85" s="67"/>
    </row>
    <row r="86" spans="1:4" s="65" customFormat="1">
      <c r="A86" s="66"/>
      <c r="B86" s="66"/>
      <c r="C86" s="66"/>
      <c r="D86" s="67"/>
    </row>
    <row r="87" spans="1:4" s="65" customFormat="1">
      <c r="A87" s="66"/>
      <c r="B87" s="66"/>
      <c r="C87" s="66"/>
      <c r="D87" s="67"/>
    </row>
    <row r="88" spans="1:4" s="65" customFormat="1">
      <c r="A88" s="66"/>
      <c r="B88" s="66"/>
      <c r="C88" s="66"/>
      <c r="D88" s="67"/>
    </row>
    <row r="89" spans="1:4" s="65" customFormat="1">
      <c r="A89" s="66"/>
      <c r="B89" s="66"/>
      <c r="C89" s="66"/>
      <c r="D89" s="67"/>
    </row>
  </sheetData>
  <mergeCells count="6">
    <mergeCell ref="A74:C74"/>
    <mergeCell ref="A70:C70"/>
    <mergeCell ref="A8:D8"/>
    <mergeCell ref="A9:D10"/>
    <mergeCell ref="A71:C71"/>
    <mergeCell ref="A72:C72"/>
  </mergeCells>
  <pageMargins left="0.51181102362204722" right="0.11811023622047244" top="0.15748031496062992" bottom="0.15748031496062992" header="0.31496062992125984" footer="0.31496062992125984"/>
  <pageSetup paperSize="9" scale="85" orientation="portrait" horizontalDpi="0" verticalDpi="0" r:id="rId1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B050"/>
  </sheetPr>
  <dimension ref="B3:K100"/>
  <sheetViews>
    <sheetView topLeftCell="A58" workbookViewId="0">
      <selection activeCell="C49" sqref="C49"/>
    </sheetView>
  </sheetViews>
  <sheetFormatPr defaultColWidth="9.140625" defaultRowHeight="15"/>
  <cols>
    <col min="1" max="1" width="4" style="58" customWidth="1"/>
    <col min="2" max="2" width="44.7109375" style="66" customWidth="1"/>
    <col min="3" max="3" width="14.5703125" style="66" customWidth="1"/>
    <col min="4" max="4" width="33.42578125" style="66" customWidth="1"/>
    <col min="5" max="5" width="18" style="67" customWidth="1"/>
    <col min="6" max="6" width="4.85546875" style="58" customWidth="1"/>
    <col min="7" max="8" width="9.140625" style="58"/>
    <col min="9" max="9" width="14.28515625" style="58" customWidth="1"/>
    <col min="10" max="16384" width="9.140625" style="58"/>
  </cols>
  <sheetData>
    <row r="3" spans="2:11" ht="15.75">
      <c r="D3" s="163" t="s">
        <v>0</v>
      </c>
      <c r="E3" s="65"/>
    </row>
    <row r="4" spans="2:11" ht="15.75">
      <c r="D4" s="163" t="s">
        <v>185</v>
      </c>
      <c r="E4" s="65"/>
    </row>
    <row r="5" spans="2:11" ht="15.75">
      <c r="D5" s="163" t="s">
        <v>1</v>
      </c>
      <c r="E5" s="65"/>
      <c r="I5" s="139" t="s">
        <v>132</v>
      </c>
      <c r="J5" s="212">
        <v>15.7</v>
      </c>
      <c r="K5" s="141"/>
    </row>
    <row r="6" spans="2:11" ht="15.75">
      <c r="D6" s="163"/>
      <c r="E6" s="65"/>
      <c r="I6" s="140" t="s">
        <v>134</v>
      </c>
      <c r="J6" s="140">
        <v>385.2</v>
      </c>
      <c r="K6" s="141"/>
    </row>
    <row r="7" spans="2:11" ht="15.75">
      <c r="D7" s="163" t="s">
        <v>217</v>
      </c>
      <c r="E7" s="65"/>
      <c r="I7" s="140" t="s">
        <v>135</v>
      </c>
      <c r="J7" s="140">
        <v>8</v>
      </c>
      <c r="K7" s="141"/>
    </row>
    <row r="8" spans="2:11" ht="15.75">
      <c r="D8" s="70"/>
      <c r="I8" s="140" t="s">
        <v>136</v>
      </c>
      <c r="J8" s="212">
        <v>31</v>
      </c>
      <c r="K8" s="141"/>
    </row>
    <row r="9" spans="2:11" ht="15.75">
      <c r="D9" s="70"/>
      <c r="I9" s="142" t="s">
        <v>137</v>
      </c>
      <c r="J9" s="140">
        <v>1498</v>
      </c>
      <c r="K9" s="141"/>
    </row>
    <row r="10" spans="2:11" ht="29.25" customHeight="1">
      <c r="B10" s="798" t="s">
        <v>218</v>
      </c>
      <c r="C10" s="798"/>
      <c r="D10" s="798"/>
      <c r="E10" s="798"/>
      <c r="I10" s="140" t="s">
        <v>138</v>
      </c>
      <c r="J10" s="140"/>
      <c r="K10" s="141"/>
    </row>
    <row r="11" spans="2:11" ht="15" customHeight="1">
      <c r="B11" s="798" t="s">
        <v>109</v>
      </c>
      <c r="C11" s="798"/>
      <c r="D11" s="798"/>
      <c r="E11" s="798"/>
      <c r="I11" s="140" t="s">
        <v>139</v>
      </c>
      <c r="J11" s="140"/>
      <c r="K11" s="141"/>
    </row>
    <row r="12" spans="2:11" ht="15" customHeight="1">
      <c r="B12" s="798"/>
      <c r="C12" s="798"/>
      <c r="D12" s="798"/>
      <c r="E12" s="798"/>
      <c r="I12" s="140" t="s">
        <v>140</v>
      </c>
      <c r="J12" s="140"/>
      <c r="K12" s="141"/>
    </row>
    <row r="13" spans="2:11" ht="15.75">
      <c r="B13" s="73"/>
      <c r="C13" s="73"/>
      <c r="D13" s="73"/>
      <c r="I13" s="140" t="s">
        <v>141</v>
      </c>
      <c r="J13" s="140"/>
      <c r="K13" s="141"/>
    </row>
    <row r="14" spans="2:11" ht="15.75">
      <c r="B14" s="74" t="s">
        <v>2</v>
      </c>
      <c r="C14" s="75">
        <v>385.2</v>
      </c>
      <c r="D14" s="76" t="s">
        <v>72</v>
      </c>
      <c r="I14" s="140" t="s">
        <v>142</v>
      </c>
      <c r="J14" s="140">
        <v>280.06</v>
      </c>
      <c r="K14" s="141"/>
    </row>
    <row r="15" spans="2:11" s="59" customFormat="1" ht="15.75">
      <c r="B15" s="77" t="s">
        <v>3</v>
      </c>
      <c r="C15" s="78">
        <v>0</v>
      </c>
      <c r="D15" s="79"/>
      <c r="E15" s="80"/>
      <c r="I15" s="140" t="s">
        <v>143</v>
      </c>
      <c r="J15" s="59">
        <v>1133.06</v>
      </c>
      <c r="K15" s="141"/>
    </row>
    <row r="16" spans="2:11" s="59" customFormat="1" ht="15.75">
      <c r="B16" s="77"/>
      <c r="C16" s="78"/>
      <c r="D16" s="79"/>
      <c r="E16" s="80"/>
      <c r="I16" s="140" t="s">
        <v>144</v>
      </c>
      <c r="J16" s="140"/>
      <c r="K16" s="141"/>
    </row>
    <row r="17" spans="2:11" ht="31.5">
      <c r="B17" s="81" t="s">
        <v>4</v>
      </c>
      <c r="C17" s="82" t="s">
        <v>5</v>
      </c>
      <c r="D17" s="83" t="s">
        <v>6</v>
      </c>
      <c r="E17" s="84" t="s">
        <v>84</v>
      </c>
      <c r="I17" s="140" t="s">
        <v>145</v>
      </c>
      <c r="J17" s="213">
        <v>56.61</v>
      </c>
      <c r="K17" s="141"/>
    </row>
    <row r="18" spans="2:11">
      <c r="B18" s="85" t="s">
        <v>7</v>
      </c>
      <c r="C18" s="149">
        <f>C14*15.7*12</f>
        <v>72571.679999999993</v>
      </c>
      <c r="D18" s="150" t="s">
        <v>426</v>
      </c>
      <c r="E18" s="86" t="s">
        <v>85</v>
      </c>
      <c r="I18" s="140" t="s">
        <v>146</v>
      </c>
      <c r="J18" s="140">
        <v>3.07</v>
      </c>
      <c r="K18" s="141"/>
    </row>
    <row r="19" spans="2:11" ht="38.25">
      <c r="B19" s="87" t="s">
        <v>8</v>
      </c>
      <c r="C19" s="214">
        <f>31*(211.42*6*1.45/12+226.93*6*1.45/12)*1.18</f>
        <v>11625.261175</v>
      </c>
      <c r="D19" s="215" t="s">
        <v>427</v>
      </c>
      <c r="E19" s="90"/>
      <c r="I19" s="140" t="s">
        <v>147</v>
      </c>
      <c r="J19" s="143">
        <v>0.23</v>
      </c>
      <c r="K19" s="144">
        <f>(J15/3+J14)/2920</f>
        <v>0.22525570776255707</v>
      </c>
    </row>
    <row r="20" spans="2:11">
      <c r="B20" s="91" t="s">
        <v>9</v>
      </c>
      <c r="C20" s="88">
        <f>C21</f>
        <v>0</v>
      </c>
      <c r="D20" s="89"/>
      <c r="E20" s="90"/>
      <c r="I20" s="145" t="s">
        <v>148</v>
      </c>
      <c r="J20" s="145"/>
      <c r="K20" s="141"/>
    </row>
    <row r="21" spans="2:11">
      <c r="B21" s="68"/>
      <c r="C21" s="92"/>
      <c r="D21" s="93"/>
      <c r="E21" s="90"/>
      <c r="I21" s="146" t="s">
        <v>149</v>
      </c>
      <c r="J21" s="147"/>
      <c r="K21" s="141"/>
    </row>
    <row r="22" spans="2:11">
      <c r="B22" s="94"/>
      <c r="C22" s="151"/>
      <c r="D22" s="152"/>
      <c r="E22" s="90"/>
      <c r="I22" s="58" t="s">
        <v>150</v>
      </c>
      <c r="J22" s="58">
        <v>1.45</v>
      </c>
      <c r="K22" s="141"/>
    </row>
    <row r="23" spans="2:11">
      <c r="B23" s="94"/>
      <c r="C23" s="153"/>
      <c r="D23" s="154"/>
      <c r="E23" s="90"/>
      <c r="I23" s="58" t="s">
        <v>151</v>
      </c>
      <c r="K23" s="141"/>
    </row>
    <row r="24" spans="2:11" ht="15.75">
      <c r="B24" s="95" t="s">
        <v>12</v>
      </c>
      <c r="C24" s="1">
        <f>C18+C20</f>
        <v>72571.679999999993</v>
      </c>
      <c r="D24" s="96"/>
      <c r="E24" s="90"/>
      <c r="I24" s="141" t="s">
        <v>152</v>
      </c>
      <c r="J24" s="141"/>
      <c r="K24" s="144">
        <f>J24/790</f>
        <v>0</v>
      </c>
    </row>
    <row r="25" spans="2:11">
      <c r="B25" s="97" t="s">
        <v>13</v>
      </c>
      <c r="C25" s="1">
        <f>C26+C27+C28+C29+C30+C31+C32</f>
        <v>1485</v>
      </c>
      <c r="D25" s="96"/>
      <c r="E25" s="90"/>
      <c r="I25" s="58" t="s">
        <v>153</v>
      </c>
      <c r="J25" s="58">
        <v>385.2</v>
      </c>
    </row>
    <row r="26" spans="2:11">
      <c r="B26" s="68" t="s">
        <v>14</v>
      </c>
      <c r="C26" s="1">
        <f>34.98*12*0</f>
        <v>0</v>
      </c>
      <c r="D26" s="96" t="s">
        <v>15</v>
      </c>
      <c r="E26" s="90"/>
    </row>
    <row r="27" spans="2:11">
      <c r="B27" s="68" t="s">
        <v>16</v>
      </c>
      <c r="C27" s="1">
        <f>137.5*12*0</f>
        <v>0</v>
      </c>
      <c r="D27" s="96" t="s">
        <v>17</v>
      </c>
      <c r="E27" s="90"/>
    </row>
    <row r="28" spans="2:11">
      <c r="B28" s="68" t="s">
        <v>18</v>
      </c>
      <c r="C28" s="1">
        <f>123.75*12*0</f>
        <v>0</v>
      </c>
      <c r="D28" s="96" t="s">
        <v>19</v>
      </c>
      <c r="E28" s="90"/>
    </row>
    <row r="29" spans="2:11">
      <c r="B29" s="68" t="s">
        <v>20</v>
      </c>
      <c r="C29" s="1">
        <f>123.75*12</f>
        <v>1485</v>
      </c>
      <c r="D29" s="96" t="s">
        <v>19</v>
      </c>
      <c r="E29" s="90" t="s">
        <v>85</v>
      </c>
    </row>
    <row r="30" spans="2:11">
      <c r="B30" s="68" t="s">
        <v>66</v>
      </c>
      <c r="C30" s="1">
        <f>150*12*0</f>
        <v>0</v>
      </c>
      <c r="D30" s="96" t="s">
        <v>21</v>
      </c>
      <c r="E30" s="90"/>
    </row>
    <row r="31" spans="2:11">
      <c r="B31" s="68" t="s">
        <v>22</v>
      </c>
      <c r="C31" s="1">
        <f>137.5*12*0</f>
        <v>0</v>
      </c>
      <c r="D31" s="96" t="s">
        <v>17</v>
      </c>
      <c r="E31" s="90"/>
    </row>
    <row r="32" spans="2:11">
      <c r="B32" s="68" t="s">
        <v>23</v>
      </c>
      <c r="C32" s="1">
        <f>150*12*0</f>
        <v>0</v>
      </c>
      <c r="D32" s="96" t="s">
        <v>21</v>
      </c>
      <c r="E32" s="90"/>
    </row>
    <row r="33" spans="2:8">
      <c r="B33" s="97" t="s">
        <v>24</v>
      </c>
      <c r="C33" s="1">
        <f>C34</f>
        <v>0</v>
      </c>
      <c r="D33" s="96"/>
      <c r="E33" s="90"/>
      <c r="G33" s="58" t="s">
        <v>25</v>
      </c>
    </row>
    <row r="34" spans="2:8">
      <c r="B34" s="68"/>
      <c r="C34" s="1"/>
      <c r="D34" s="96"/>
      <c r="E34" s="90"/>
    </row>
    <row r="35" spans="2:8" ht="18.75">
      <c r="B35" s="98" t="s">
        <v>26</v>
      </c>
      <c r="C35" s="99">
        <f>C24+C25+C33</f>
        <v>74056.679999999993</v>
      </c>
      <c r="D35" s="96"/>
      <c r="E35" s="90"/>
    </row>
    <row r="36" spans="2:8" ht="15.75">
      <c r="B36" s="82" t="s">
        <v>27</v>
      </c>
      <c r="C36" s="100" t="s">
        <v>5</v>
      </c>
      <c r="D36" s="101" t="s">
        <v>28</v>
      </c>
      <c r="E36" s="90"/>
    </row>
    <row r="37" spans="2:8" ht="15.75">
      <c r="B37" s="102" t="s">
        <v>29</v>
      </c>
      <c r="C37" s="88"/>
      <c r="D37" s="103"/>
      <c r="E37" s="90"/>
      <c r="H37" s="60"/>
    </row>
    <row r="38" spans="2:8" ht="51">
      <c r="B38" s="104" t="s">
        <v>30</v>
      </c>
      <c r="C38" s="218">
        <f>(0.23*(3565+200)*1.5*1.15*1.083*1.302*3)+(0.23*(3708+200)*1.5*1.15*1.083*1.302*9)+(0.1*280.06*12)</f>
        <v>26331.741734128496</v>
      </c>
      <c r="D38" s="219" t="s">
        <v>428</v>
      </c>
      <c r="E38" s="90" t="s">
        <v>86</v>
      </c>
      <c r="H38" s="61"/>
    </row>
    <row r="39" spans="2:8" ht="15.75">
      <c r="B39" s="104" t="s">
        <v>31</v>
      </c>
      <c r="C39" s="175"/>
      <c r="D39" s="176"/>
      <c r="E39" s="90"/>
      <c r="H39" s="61"/>
    </row>
    <row r="40" spans="2:8" ht="15.75">
      <c r="B40" s="104" t="s">
        <v>32</v>
      </c>
      <c r="C40" s="175"/>
      <c r="D40" s="176"/>
      <c r="E40" s="90"/>
      <c r="H40" s="61"/>
    </row>
    <row r="41" spans="2:8" s="62" customFormat="1" ht="51">
      <c r="B41" s="104" t="s">
        <v>33</v>
      </c>
      <c r="C41" s="220">
        <f>31*(360.84*0.025*3+362.52*0.025*3+382.25*0.025*6)</f>
        <v>3459.2745</v>
      </c>
      <c r="D41" s="221" t="s">
        <v>429</v>
      </c>
      <c r="E41" s="86" t="s">
        <v>87</v>
      </c>
      <c r="H41" s="61"/>
    </row>
    <row r="42" spans="2:8" ht="15.75">
      <c r="B42" s="104" t="s">
        <v>34</v>
      </c>
      <c r="C42" s="222">
        <f>(16.86+17.53)*8</f>
        <v>275.12</v>
      </c>
      <c r="D42" s="223" t="s">
        <v>430</v>
      </c>
      <c r="E42" s="90" t="s">
        <v>88</v>
      </c>
      <c r="H42" s="61"/>
    </row>
    <row r="43" spans="2:8" ht="36.75" customHeight="1">
      <c r="B43" s="104" t="s">
        <v>35</v>
      </c>
      <c r="C43" s="222">
        <f>(49.72+51.71)*2*0</f>
        <v>0</v>
      </c>
      <c r="D43" s="223" t="s">
        <v>220</v>
      </c>
      <c r="E43" s="90"/>
      <c r="H43" s="61"/>
    </row>
    <row r="44" spans="2:8" ht="15.75">
      <c r="B44" s="104" t="s">
        <v>36</v>
      </c>
      <c r="C44" s="164">
        <f>0.25*385.2*12</f>
        <v>1155.5999999999999</v>
      </c>
      <c r="D44" s="150" t="s">
        <v>171</v>
      </c>
      <c r="E44" s="90" t="s">
        <v>85</v>
      </c>
      <c r="H44" s="61"/>
    </row>
    <row r="45" spans="2:8" ht="15.75">
      <c r="B45" s="106" t="s">
        <v>37</v>
      </c>
      <c r="C45" s="164">
        <f>2.34*385.2*4</f>
        <v>3605.4719999999998</v>
      </c>
      <c r="D45" s="150" t="s">
        <v>172</v>
      </c>
      <c r="E45" s="90" t="s">
        <v>89</v>
      </c>
      <c r="H45" s="61"/>
    </row>
    <row r="46" spans="2:8" ht="25.5">
      <c r="B46" s="115" t="s">
        <v>67</v>
      </c>
      <c r="C46" s="224">
        <f>(700.55*6+728.57*6)*0</f>
        <v>0</v>
      </c>
      <c r="D46" s="225" t="s">
        <v>221</v>
      </c>
      <c r="E46" s="90" t="s">
        <v>85</v>
      </c>
      <c r="H46" s="61"/>
    </row>
    <row r="47" spans="2:8" ht="25.5">
      <c r="B47" s="115" t="s">
        <v>190</v>
      </c>
      <c r="C47" s="226">
        <f>(695.13*6+722.94*6)*0</f>
        <v>0</v>
      </c>
      <c r="D47" s="225" t="s">
        <v>222</v>
      </c>
      <c r="E47" s="90" t="s">
        <v>85</v>
      </c>
      <c r="H47" s="61"/>
    </row>
    <row r="48" spans="2:8" ht="15.75">
      <c r="B48" s="115" t="s">
        <v>158</v>
      </c>
      <c r="C48" s="4">
        <f>164.37*12</f>
        <v>1972.44</v>
      </c>
      <c r="D48" s="209" t="s">
        <v>215</v>
      </c>
      <c r="E48" s="90" t="s">
        <v>85</v>
      </c>
      <c r="H48" s="61"/>
    </row>
    <row r="49" spans="2:8" ht="50.25" customHeight="1">
      <c r="B49" s="87" t="s">
        <v>45</v>
      </c>
      <c r="C49" s="227">
        <f>31*(211.42*6*1.45/12+226.93*6*1.45/12)</f>
        <v>9851.9162500000002</v>
      </c>
      <c r="D49" s="225" t="s">
        <v>431</v>
      </c>
      <c r="E49" s="90" t="s">
        <v>87</v>
      </c>
      <c r="H49" s="61"/>
    </row>
    <row r="50" spans="2:8" ht="25.5">
      <c r="B50" s="87" t="s">
        <v>46</v>
      </c>
      <c r="C50" s="224">
        <f>0*(232.8*6+243.11*6)</f>
        <v>0</v>
      </c>
      <c r="D50" s="228" t="s">
        <v>223</v>
      </c>
      <c r="E50" s="90"/>
      <c r="H50" s="61"/>
    </row>
    <row r="51" spans="2:8" ht="15.75">
      <c r="B51" s="108" t="s">
        <v>47</v>
      </c>
      <c r="C51" s="109">
        <f>C38+C39+C40+C41+C42+C43+C44+C45+C46+C47+C48+C49+C50</f>
        <v>46651.564484128496</v>
      </c>
      <c r="D51" s="110"/>
      <c r="E51" s="90"/>
    </row>
    <row r="52" spans="2:8">
      <c r="B52" s="104" t="s">
        <v>48</v>
      </c>
      <c r="C52" s="1"/>
      <c r="D52" s="96"/>
      <c r="E52" s="90"/>
    </row>
    <row r="53" spans="2:8" s="63" customFormat="1" ht="51">
      <c r="B53" s="112" t="s">
        <v>49</v>
      </c>
      <c r="C53" s="222">
        <f>(3.07*96.4189*3)+(3.07*100.2864*9)+(1.78*(C14+C15)*12)</f>
        <v>11886.803301</v>
      </c>
      <c r="D53" s="229" t="s">
        <v>432</v>
      </c>
      <c r="E53" s="113"/>
    </row>
    <row r="54" spans="2:8">
      <c r="B54" s="106" t="s">
        <v>50</v>
      </c>
      <c r="C54" s="1">
        <f>13.69*296.3</f>
        <v>4056.3470000000002</v>
      </c>
      <c r="D54" s="96" t="s">
        <v>433</v>
      </c>
      <c r="E54" s="90" t="s">
        <v>90</v>
      </c>
    </row>
    <row r="55" spans="2:8" ht="89.25">
      <c r="B55" s="114" t="s">
        <v>120</v>
      </c>
      <c r="C55" s="4">
        <f>17.51*(C14+C15)*0</f>
        <v>0</v>
      </c>
      <c r="D55" s="96" t="s">
        <v>434</v>
      </c>
      <c r="E55" s="90"/>
    </row>
    <row r="56" spans="2:8" ht="51">
      <c r="B56" s="104" t="s">
        <v>51</v>
      </c>
      <c r="C56" s="222">
        <f>(632.04+251.07/3)*1498/1000</f>
        <v>1072.16354</v>
      </c>
      <c r="D56" s="229" t="s">
        <v>435</v>
      </c>
      <c r="E56" s="115" t="s">
        <v>91</v>
      </c>
    </row>
    <row r="57" spans="2:8" ht="51">
      <c r="B57" s="116" t="s">
        <v>52</v>
      </c>
      <c r="C57" s="230">
        <f>((56.61/12*3*96.4189)+(56.61/12*9*100.2864))+((56.61/12*3*96.4189)+(56.61/12*9*100.2864))/1.302*25%</f>
        <v>6702.0632392534571</v>
      </c>
      <c r="D57" s="229" t="s">
        <v>436</v>
      </c>
      <c r="E57" s="90"/>
    </row>
    <row r="58" spans="2:8" ht="15.75">
      <c r="B58" s="117" t="s">
        <v>53</v>
      </c>
      <c r="C58" s="109">
        <f>C53+C54+C55+C56+C57</f>
        <v>23717.377080253456</v>
      </c>
      <c r="D58" s="110"/>
      <c r="E58" s="90"/>
    </row>
    <row r="59" spans="2:8">
      <c r="B59" s="116" t="s">
        <v>54</v>
      </c>
      <c r="C59" s="1"/>
      <c r="D59" s="96"/>
      <c r="E59" s="90"/>
    </row>
    <row r="60" spans="2:8" s="62" customFormat="1" ht="12.75">
      <c r="B60" s="118" t="s">
        <v>55</v>
      </c>
      <c r="C60" s="2">
        <v>0</v>
      </c>
      <c r="D60" s="119"/>
      <c r="E60" s="86"/>
    </row>
    <row r="61" spans="2:8">
      <c r="B61" s="116" t="s">
        <v>56</v>
      </c>
      <c r="C61" s="88">
        <v>0</v>
      </c>
      <c r="D61" s="120"/>
      <c r="E61" s="90"/>
    </row>
    <row r="62" spans="2:8">
      <c r="B62" s="116" t="s">
        <v>57</v>
      </c>
      <c r="C62" s="88"/>
      <c r="D62" s="120"/>
      <c r="E62" s="90"/>
    </row>
    <row r="63" spans="2:8">
      <c r="B63" s="116" t="s">
        <v>58</v>
      </c>
      <c r="C63" s="88"/>
      <c r="D63" s="120"/>
      <c r="E63" s="90"/>
    </row>
    <row r="64" spans="2:8">
      <c r="B64" s="116" t="s">
        <v>59</v>
      </c>
      <c r="C64" s="88"/>
      <c r="D64" s="120"/>
      <c r="E64" s="90"/>
    </row>
    <row r="65" spans="2:8" ht="15.75">
      <c r="B65" s="117" t="s">
        <v>60</v>
      </c>
      <c r="C65" s="121">
        <f>C60+C61</f>
        <v>0</v>
      </c>
      <c r="D65" s="122"/>
      <c r="E65" s="90"/>
    </row>
    <row r="66" spans="2:8">
      <c r="B66" s="123" t="s">
        <v>61</v>
      </c>
      <c r="C66" s="88">
        <f>3.05*(C14+0)</f>
        <v>1174.8599999999999</v>
      </c>
      <c r="D66" s="120" t="s">
        <v>437</v>
      </c>
      <c r="E66" s="90"/>
    </row>
    <row r="67" spans="2:8" ht="15.75">
      <c r="B67" s="124" t="s">
        <v>62</v>
      </c>
      <c r="C67" s="125">
        <f>1.49*(C14+0)</f>
        <v>573.94799999999998</v>
      </c>
      <c r="D67" s="126" t="s">
        <v>438</v>
      </c>
      <c r="E67" s="90"/>
      <c r="H67" s="64"/>
    </row>
    <row r="68" spans="2:8">
      <c r="B68" s="68" t="s">
        <v>63</v>
      </c>
      <c r="C68" s="88">
        <f>(C51+C58)*0.341</f>
        <v>23995.809073454246</v>
      </c>
      <c r="D68" s="120" t="s">
        <v>224</v>
      </c>
      <c r="E68" s="90"/>
    </row>
    <row r="69" spans="2:8" ht="38.25">
      <c r="B69" s="68" t="s">
        <v>121</v>
      </c>
      <c r="C69" s="125">
        <f>(C51+C58+C68)*0.132</f>
        <v>12456.147084194379</v>
      </c>
      <c r="D69" s="69" t="s">
        <v>225</v>
      </c>
      <c r="E69" s="90" t="s">
        <v>85</v>
      </c>
    </row>
    <row r="70" spans="2:8" ht="15.75">
      <c r="B70" s="127" t="s">
        <v>122</v>
      </c>
      <c r="C70" s="121">
        <f>C66+C67+C68+C69</f>
        <v>38200.764157648628</v>
      </c>
      <c r="D70" s="122"/>
      <c r="E70" s="90"/>
    </row>
    <row r="71" spans="2:8">
      <c r="B71" s="68" t="s">
        <v>64</v>
      </c>
      <c r="C71" s="88">
        <f>(C51+C58+C65+C70)*3%</f>
        <v>3257.0911716609171</v>
      </c>
      <c r="D71" s="120"/>
      <c r="E71" s="90"/>
    </row>
    <row r="72" spans="2:8" ht="15.75">
      <c r="B72" s="128" t="s">
        <v>26</v>
      </c>
      <c r="C72" s="129">
        <f>C51+C58+C65+C70+C71</f>
        <v>111826.79689369148</v>
      </c>
      <c r="D72" s="130"/>
      <c r="E72" s="90"/>
    </row>
    <row r="73" spans="2:8" ht="15.75">
      <c r="B73" s="128" t="s">
        <v>65</v>
      </c>
      <c r="C73" s="129">
        <f>C72*1.18</f>
        <v>131955.62033455595</v>
      </c>
      <c r="D73" s="130"/>
      <c r="E73" s="90"/>
    </row>
    <row r="74" spans="2:8" ht="15.75">
      <c r="B74" s="131"/>
      <c r="C74" s="132">
        <f>C35-C73</f>
        <v>-57898.940334555955</v>
      </c>
      <c r="D74" s="133"/>
      <c r="E74" s="90"/>
    </row>
    <row r="75" spans="2:8" ht="30">
      <c r="B75" s="134" t="s">
        <v>123</v>
      </c>
      <c r="C75" s="135">
        <f>C73/(C14+C15)/12</f>
        <v>28.546992976496181</v>
      </c>
      <c r="D75" s="136" t="s">
        <v>131</v>
      </c>
      <c r="E75" s="137"/>
    </row>
    <row r="76" spans="2:8">
      <c r="B76" s="138"/>
      <c r="E76" s="138"/>
    </row>
    <row r="77" spans="2:8" ht="15" customHeight="1">
      <c r="B77" s="802" t="s">
        <v>124</v>
      </c>
      <c r="C77" s="802"/>
      <c r="D77" s="802"/>
      <c r="E77" s="138"/>
    </row>
    <row r="78" spans="2:8" ht="43.5" customHeight="1">
      <c r="B78" s="803" t="s">
        <v>226</v>
      </c>
      <c r="C78" s="803"/>
      <c r="D78" s="803"/>
      <c r="E78" s="803"/>
    </row>
    <row r="79" spans="2:8" ht="34.5" customHeight="1">
      <c r="B79" s="803" t="s">
        <v>227</v>
      </c>
      <c r="C79" s="803"/>
      <c r="D79" s="803"/>
      <c r="E79" s="803"/>
    </row>
    <row r="80" spans="2:8" ht="28.5" customHeight="1">
      <c r="B80" s="157"/>
      <c r="C80" s="158"/>
      <c r="D80" s="159"/>
      <c r="E80" s="138"/>
    </row>
    <row r="81" spans="2:5">
      <c r="B81" s="160"/>
      <c r="C81" s="161"/>
      <c r="D81" s="162"/>
      <c r="E81" s="138"/>
    </row>
    <row r="82" spans="2:5">
      <c r="B82" s="797" t="s">
        <v>188</v>
      </c>
      <c r="C82" s="797"/>
      <c r="D82" s="797"/>
    </row>
    <row r="93" spans="2:5" s="65" customFormat="1">
      <c r="B93" s="66"/>
      <c r="C93" s="66"/>
      <c r="D93" s="66"/>
      <c r="E93" s="67"/>
    </row>
    <row r="94" spans="2:5" s="65" customFormat="1">
      <c r="B94" s="66"/>
      <c r="C94" s="66"/>
      <c r="D94" s="66"/>
      <c r="E94" s="67"/>
    </row>
    <row r="95" spans="2:5" s="65" customFormat="1">
      <c r="B95" s="66"/>
      <c r="C95" s="66"/>
      <c r="D95" s="66"/>
      <c r="E95" s="67"/>
    </row>
    <row r="96" spans="2:5" s="65" customFormat="1">
      <c r="B96" s="66"/>
      <c r="C96" s="66"/>
      <c r="D96" s="66"/>
      <c r="E96" s="67"/>
    </row>
    <row r="97" spans="2:5" s="65" customFormat="1">
      <c r="B97" s="66"/>
      <c r="C97" s="66"/>
      <c r="D97" s="66"/>
      <c r="E97" s="67"/>
    </row>
    <row r="98" spans="2:5" s="65" customFormat="1">
      <c r="B98" s="66"/>
      <c r="C98" s="66"/>
      <c r="D98" s="66"/>
      <c r="E98" s="67"/>
    </row>
    <row r="99" spans="2:5" s="65" customFormat="1">
      <c r="B99" s="66"/>
      <c r="C99" s="66"/>
      <c r="D99" s="66"/>
      <c r="E99" s="67"/>
    </row>
    <row r="100" spans="2:5" s="65" customFormat="1">
      <c r="B100" s="66"/>
      <c r="C100" s="66"/>
      <c r="D100" s="66"/>
      <c r="E100" s="67"/>
    </row>
  </sheetData>
  <mergeCells count="6">
    <mergeCell ref="B82:D82"/>
    <mergeCell ref="B77:D77"/>
    <mergeCell ref="B10:E10"/>
    <mergeCell ref="B11:E12"/>
    <mergeCell ref="B78:E78"/>
    <mergeCell ref="B79:E7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3:G74"/>
  <sheetViews>
    <sheetView workbookViewId="0">
      <selection activeCell="E22" sqref="E1:H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6.42578125" style="466" hidden="1" customWidth="1"/>
    <col min="6" max="6" width="26.7109375" style="162" hidden="1" customWidth="1"/>
    <col min="7" max="7" width="8.42578125" style="162" hidden="1" customWidth="1"/>
    <col min="8" max="8" width="0" style="162" hidden="1" customWidth="1"/>
    <col min="9" max="16384" width="9.140625" style="162"/>
  </cols>
  <sheetData>
    <row r="3" spans="1:7" ht="15.75">
      <c r="C3" s="465" t="s">
        <v>0</v>
      </c>
      <c r="D3" s="194"/>
    </row>
    <row r="4" spans="1:7" ht="15.75">
      <c r="C4" s="465" t="s">
        <v>216</v>
      </c>
      <c r="D4" s="194"/>
    </row>
    <row r="5" spans="1:7" ht="15.75">
      <c r="C5" s="465" t="s">
        <v>189</v>
      </c>
      <c r="D5" s="194"/>
    </row>
    <row r="6" spans="1:7" ht="15.75">
      <c r="C6" s="465"/>
      <c r="D6" s="194"/>
    </row>
    <row r="7" spans="1:7" ht="15.75">
      <c r="C7" s="465" t="s">
        <v>217</v>
      </c>
      <c r="D7" s="194"/>
    </row>
    <row r="8" spans="1:7" ht="15.75">
      <c r="C8" s="70"/>
    </row>
    <row r="9" spans="1:7" ht="15.75">
      <c r="A9" s="798" t="s">
        <v>478</v>
      </c>
      <c r="B9" s="798"/>
      <c r="C9" s="798"/>
      <c r="D9" s="798"/>
    </row>
    <row r="10" spans="1:7">
      <c r="A10" s="798" t="s">
        <v>545</v>
      </c>
      <c r="B10" s="798"/>
      <c r="C10" s="798"/>
      <c r="D10" s="798"/>
    </row>
    <row r="11" spans="1:7">
      <c r="A11" s="798"/>
      <c r="B11" s="798"/>
      <c r="C11" s="798"/>
      <c r="D11" s="798"/>
    </row>
    <row r="12" spans="1:7" ht="15.75">
      <c r="A12" s="73"/>
      <c r="B12" s="73"/>
      <c r="C12" s="73"/>
    </row>
    <row r="13" spans="1:7" ht="15.75">
      <c r="A13" s="74" t="s">
        <v>2</v>
      </c>
      <c r="B13" s="454">
        <f>G17</f>
        <v>14823.9</v>
      </c>
      <c r="C13" s="76" t="s">
        <v>527</v>
      </c>
    </row>
    <row r="14" spans="1:7" s="469" customFormat="1" ht="15.75">
      <c r="A14" s="77" t="s">
        <v>3</v>
      </c>
      <c r="B14" s="468">
        <v>0</v>
      </c>
      <c r="C14" s="79"/>
      <c r="E14" s="470"/>
    </row>
    <row r="15" spans="1:7" s="469" customFormat="1" ht="15.75">
      <c r="A15" s="77"/>
      <c r="B15" s="195"/>
      <c r="C15" s="79"/>
      <c r="E15" s="470"/>
    </row>
    <row r="16" spans="1:7" ht="31.5">
      <c r="A16" s="471" t="s">
        <v>4</v>
      </c>
      <c r="B16" s="472" t="s">
        <v>5</v>
      </c>
      <c r="C16" s="472" t="s">
        <v>661</v>
      </c>
      <c r="D16" s="473" t="s">
        <v>84</v>
      </c>
      <c r="F16" s="253" t="s">
        <v>132</v>
      </c>
      <c r="G16" s="254">
        <v>20.78</v>
      </c>
    </row>
    <row r="17" spans="1:7">
      <c r="A17" s="474" t="s">
        <v>7</v>
      </c>
      <c r="B17" s="475">
        <f>B13*G16*12</f>
        <v>3696487.7039999999</v>
      </c>
      <c r="C17" s="481" t="s">
        <v>651</v>
      </c>
      <c r="D17" s="477" t="s">
        <v>85</v>
      </c>
      <c r="F17" s="259" t="s">
        <v>134</v>
      </c>
      <c r="G17" s="260">
        <v>14823.9</v>
      </c>
    </row>
    <row r="18" spans="1:7">
      <c r="A18" s="474" t="s">
        <v>9</v>
      </c>
      <c r="B18" s="478">
        <f>B14</f>
        <v>0</v>
      </c>
      <c r="C18" s="547"/>
      <c r="D18" s="477"/>
      <c r="F18" s="259" t="s">
        <v>135</v>
      </c>
      <c r="G18" s="260">
        <v>252</v>
      </c>
    </row>
    <row r="19" spans="1:7" ht="15.75">
      <c r="A19" s="543" t="s">
        <v>12</v>
      </c>
      <c r="B19" s="544">
        <f>B17+B18</f>
        <v>3696487.7039999999</v>
      </c>
      <c r="C19" s="548"/>
      <c r="D19" s="477"/>
      <c r="E19" s="162"/>
      <c r="F19" s="259" t="s">
        <v>136</v>
      </c>
      <c r="G19" s="260">
        <v>804</v>
      </c>
    </row>
    <row r="20" spans="1:7">
      <c r="A20" s="546" t="s">
        <v>13</v>
      </c>
      <c r="B20" s="478">
        <f>B21+B22+B23+B24+B25+B26</f>
        <v>5189.76</v>
      </c>
      <c r="C20" s="548"/>
      <c r="D20" s="477"/>
      <c r="F20" s="247" t="s">
        <v>459</v>
      </c>
      <c r="G20" s="248">
        <v>0</v>
      </c>
    </row>
    <row r="21" spans="1:7">
      <c r="A21" s="541" t="s">
        <v>14</v>
      </c>
      <c r="B21" s="172">
        <f>34.98*12</f>
        <v>419.76</v>
      </c>
      <c r="C21" s="485" t="s">
        <v>15</v>
      </c>
      <c r="D21" s="477" t="s">
        <v>85</v>
      </c>
      <c r="F21" s="259" t="s">
        <v>139</v>
      </c>
      <c r="G21" s="260">
        <v>2366</v>
      </c>
    </row>
    <row r="22" spans="1:7">
      <c r="A22" s="488" t="s">
        <v>16</v>
      </c>
      <c r="B22" s="487">
        <f>137.5*12*0</f>
        <v>0</v>
      </c>
      <c r="C22" s="485" t="s">
        <v>17</v>
      </c>
      <c r="D22" s="477" t="s">
        <v>85</v>
      </c>
      <c r="F22" s="259" t="s">
        <v>140</v>
      </c>
      <c r="G22" s="260">
        <v>7</v>
      </c>
    </row>
    <row r="23" spans="1:7">
      <c r="A23" s="488" t="s">
        <v>18</v>
      </c>
      <c r="B23" s="487">
        <f>123.75*12</f>
        <v>1485</v>
      </c>
      <c r="C23" s="485" t="s">
        <v>19</v>
      </c>
      <c r="D23" s="477" t="s">
        <v>85</v>
      </c>
      <c r="F23" s="259" t="s">
        <v>141</v>
      </c>
      <c r="G23" s="260">
        <v>7</v>
      </c>
    </row>
    <row r="24" spans="1:7">
      <c r="A24" s="488" t="s">
        <v>20</v>
      </c>
      <c r="B24" s="487">
        <f>123.75*12</f>
        <v>1485</v>
      </c>
      <c r="C24" s="485" t="s">
        <v>19</v>
      </c>
      <c r="D24" s="477" t="s">
        <v>85</v>
      </c>
      <c r="F24" s="259" t="s">
        <v>142</v>
      </c>
      <c r="G24" s="260">
        <v>4438.8</v>
      </c>
    </row>
    <row r="25" spans="1:7">
      <c r="A25" s="488" t="s">
        <v>66</v>
      </c>
      <c r="B25" s="487">
        <f>150*12</f>
        <v>1800</v>
      </c>
      <c r="C25" s="485" t="s">
        <v>21</v>
      </c>
      <c r="D25" s="477" t="s">
        <v>85</v>
      </c>
      <c r="F25" s="259" t="s">
        <v>143</v>
      </c>
      <c r="G25" s="277">
        <v>6755.5</v>
      </c>
    </row>
    <row r="26" spans="1:7">
      <c r="A26" s="488" t="s">
        <v>22</v>
      </c>
      <c r="B26" s="487">
        <f>137.5*12*0</f>
        <v>0</v>
      </c>
      <c r="C26" s="485" t="s">
        <v>17</v>
      </c>
      <c r="D26" s="477" t="s">
        <v>85</v>
      </c>
      <c r="F26" s="259" t="s">
        <v>144</v>
      </c>
      <c r="G26" s="278">
        <v>0</v>
      </c>
    </row>
    <row r="27" spans="1:7">
      <c r="A27" s="486" t="s">
        <v>24</v>
      </c>
      <c r="B27" s="487">
        <v>0</v>
      </c>
      <c r="C27" s="489"/>
      <c r="D27" s="490"/>
      <c r="F27" s="259" t="s">
        <v>145</v>
      </c>
      <c r="G27" s="278">
        <v>1654.1</v>
      </c>
    </row>
    <row r="28" spans="1:7" ht="18.75">
      <c r="A28" s="491" t="s">
        <v>26</v>
      </c>
      <c r="B28" s="492">
        <f>B19+B20+B27</f>
        <v>3701677.4639999997</v>
      </c>
      <c r="C28" s="489"/>
      <c r="D28" s="490"/>
      <c r="F28" s="259" t="s">
        <v>460</v>
      </c>
      <c r="G28" s="278">
        <v>30.43</v>
      </c>
    </row>
    <row r="29" spans="1:7" ht="15.75">
      <c r="A29" s="493" t="s">
        <v>27</v>
      </c>
      <c r="B29" s="100" t="s">
        <v>5</v>
      </c>
      <c r="C29" s="197" t="s">
        <v>28</v>
      </c>
      <c r="D29" s="490"/>
      <c r="F29" s="259" t="s">
        <v>461</v>
      </c>
      <c r="G29" s="278">
        <f>(G24/3+G25)/2920</f>
        <v>2.8202397260273973</v>
      </c>
    </row>
    <row r="30" spans="1:7">
      <c r="A30" s="494" t="s">
        <v>29</v>
      </c>
      <c r="B30" s="487"/>
      <c r="C30" s="495"/>
      <c r="D30" s="490"/>
      <c r="F30" s="259" t="s">
        <v>148</v>
      </c>
      <c r="G30" s="278">
        <f>G18/144</f>
        <v>1.75</v>
      </c>
    </row>
    <row r="31" spans="1:7" ht="75">
      <c r="A31" s="496" t="s">
        <v>30</v>
      </c>
      <c r="B31" s="340">
        <f>(G29*(3708+200)*1.5*1.15*1.083*1.302*6)+G29*((3708+200)*1.5*1.15*1.083*1.302*6)+(0.104*G24*12)</f>
        <v>327239.10850995441</v>
      </c>
      <c r="C31" s="341" t="s">
        <v>636</v>
      </c>
      <c r="D31" s="288" t="s">
        <v>86</v>
      </c>
      <c r="F31" s="259" t="s">
        <v>149</v>
      </c>
      <c r="G31" s="279">
        <v>0</v>
      </c>
    </row>
    <row r="32" spans="1:7" ht="30">
      <c r="A32" s="287" t="s">
        <v>31</v>
      </c>
      <c r="B32" s="342">
        <f>(G31*9921.13*6)+(G31*10317.11*6)</f>
        <v>0</v>
      </c>
      <c r="C32" s="343" t="s">
        <v>509</v>
      </c>
      <c r="D32" s="258"/>
      <c r="F32" s="247" t="s">
        <v>151</v>
      </c>
      <c r="G32" s="279">
        <v>9</v>
      </c>
    </row>
    <row r="33" spans="1:7" ht="45">
      <c r="A33" s="287" t="s">
        <v>32</v>
      </c>
      <c r="B33" s="342">
        <f>(1.75*9921.13*6)+(1.75*10317.11*6)+(252*10.41812*12)</f>
        <v>244005.91488</v>
      </c>
      <c r="C33" s="344" t="s">
        <v>616</v>
      </c>
      <c r="D33" s="258"/>
      <c r="F33" s="247" t="s">
        <v>462</v>
      </c>
      <c r="G33" s="279">
        <v>1788.2</v>
      </c>
    </row>
    <row r="34" spans="1:7">
      <c r="A34" s="287" t="s">
        <v>34</v>
      </c>
      <c r="B34" s="345">
        <f>(16.06+16.7)*G18</f>
        <v>8255.5199999999986</v>
      </c>
      <c r="C34" s="346" t="s">
        <v>590</v>
      </c>
      <c r="D34" s="258" t="s">
        <v>88</v>
      </c>
      <c r="F34" s="285" t="s">
        <v>463</v>
      </c>
      <c r="G34" s="286">
        <v>1788.2</v>
      </c>
    </row>
    <row r="35" spans="1:7" ht="30">
      <c r="A35" s="287" t="s">
        <v>35</v>
      </c>
      <c r="B35" s="345">
        <f>(49.72+51.71)*2*0</f>
        <v>0</v>
      </c>
      <c r="C35" s="346" t="s">
        <v>469</v>
      </c>
      <c r="D35" s="258"/>
      <c r="F35" s="289" t="s">
        <v>464</v>
      </c>
      <c r="G35" s="290">
        <v>60352</v>
      </c>
    </row>
    <row r="36" spans="1:7">
      <c r="A36" s="287" t="s">
        <v>36</v>
      </c>
      <c r="B36" s="347">
        <f>0.25*G33*12</f>
        <v>5364.6</v>
      </c>
      <c r="C36" s="348" t="s">
        <v>622</v>
      </c>
      <c r="D36" s="258" t="s">
        <v>85</v>
      </c>
      <c r="F36" s="247" t="s">
        <v>465</v>
      </c>
      <c r="G36" s="279">
        <v>2</v>
      </c>
    </row>
    <row r="37" spans="1:7">
      <c r="A37" s="291" t="s">
        <v>37</v>
      </c>
      <c r="B37" s="345">
        <f>2.34*G33*4</f>
        <v>16737.552</v>
      </c>
      <c r="C37" s="251" t="s">
        <v>623</v>
      </c>
      <c r="D37" s="258" t="s">
        <v>89</v>
      </c>
      <c r="F37" s="247" t="s">
        <v>467</v>
      </c>
      <c r="G37" s="279">
        <v>2</v>
      </c>
    </row>
    <row r="38" spans="1:7" ht="30">
      <c r="A38" s="417" t="s">
        <v>67</v>
      </c>
      <c r="B38" s="381">
        <f>(635.59*6+661.01*6)*G36</f>
        <v>15559.2</v>
      </c>
      <c r="C38" s="385" t="s">
        <v>496</v>
      </c>
      <c r="D38" s="377" t="s">
        <v>85</v>
      </c>
    </row>
    <row r="39" spans="1:7" ht="30">
      <c r="A39" s="417" t="s">
        <v>190</v>
      </c>
      <c r="B39" s="418">
        <f>(466.1*6+484.74*6)*G20</f>
        <v>0</v>
      </c>
      <c r="C39" s="385" t="s">
        <v>497</v>
      </c>
      <c r="D39" s="377" t="s">
        <v>85</v>
      </c>
    </row>
    <row r="40" spans="1:7" ht="30">
      <c r="A40" s="385" t="s">
        <v>536</v>
      </c>
      <c r="B40" s="383">
        <f>G18*(42.9*6+44.62*6)</f>
        <v>132330.23999999996</v>
      </c>
      <c r="C40" s="417" t="s">
        <v>645</v>
      </c>
      <c r="D40" s="505"/>
    </row>
    <row r="41" spans="1:7">
      <c r="A41" s="385" t="s">
        <v>529</v>
      </c>
      <c r="B41" s="383">
        <f>3750*12*7</f>
        <v>315000</v>
      </c>
      <c r="C41" s="417" t="s">
        <v>607</v>
      </c>
      <c r="D41" s="504" t="s">
        <v>85</v>
      </c>
    </row>
    <row r="42" spans="1:7">
      <c r="A42" s="385" t="s">
        <v>530</v>
      </c>
      <c r="B42" s="383">
        <f>4190*7</f>
        <v>29330</v>
      </c>
      <c r="C42" s="417" t="s">
        <v>605</v>
      </c>
      <c r="D42" s="505" t="s">
        <v>532</v>
      </c>
    </row>
    <row r="43" spans="1:7" ht="15.75">
      <c r="A43" s="507" t="s">
        <v>47</v>
      </c>
      <c r="B43" s="492">
        <f>SUM(B31:B42)</f>
        <v>1093822.1353899543</v>
      </c>
      <c r="C43" s="509"/>
      <c r="D43" s="477"/>
    </row>
    <row r="44" spans="1:7">
      <c r="A44" s="496" t="s">
        <v>48</v>
      </c>
      <c r="B44" s="487"/>
      <c r="C44" s="485"/>
      <c r="D44" s="477"/>
    </row>
    <row r="45" spans="1:7" ht="45">
      <c r="A45" s="421" t="s">
        <v>49</v>
      </c>
      <c r="B45" s="413">
        <f>(G28*100.2134*6)+(G28*104.2268)+(1.71*(B14+B13)*12)</f>
        <v>325655.01209599996</v>
      </c>
      <c r="C45" s="422" t="s">
        <v>646</v>
      </c>
      <c r="D45" s="423"/>
    </row>
    <row r="46" spans="1:7" ht="120">
      <c r="A46" s="426" t="s">
        <v>120</v>
      </c>
      <c r="B46" s="427">
        <f>17.51*(B14+B13)</f>
        <v>259566.48900000003</v>
      </c>
      <c r="C46" s="428" t="s">
        <v>546</v>
      </c>
      <c r="D46" s="377"/>
    </row>
    <row r="47" spans="1:7" ht="63">
      <c r="A47" s="456" t="s">
        <v>51</v>
      </c>
      <c r="B47" s="457">
        <f>(654.11+263.56/3)*G35/1000</f>
        <v>44778.971093333334</v>
      </c>
      <c r="C47" s="458" t="s">
        <v>649</v>
      </c>
      <c r="D47" s="459" t="s">
        <v>91</v>
      </c>
    </row>
    <row r="48" spans="1:7" ht="60">
      <c r="A48" s="430" t="s">
        <v>52</v>
      </c>
      <c r="B48" s="431">
        <f>((G27/12*6*100.2134)+(G27/12*6*104.2268))+((G27/12*6*100.2134)+(G27/12*6*104.2268))/1.302*25%</f>
        <v>201548.1405686021</v>
      </c>
      <c r="C48" s="422" t="s">
        <v>650</v>
      </c>
      <c r="D48" s="377"/>
    </row>
    <row r="49" spans="1:5" ht="15.75">
      <c r="A49" s="515" t="s">
        <v>53</v>
      </c>
      <c r="B49" s="492">
        <f>SUM(B46:B48)</f>
        <v>505893.60066193552</v>
      </c>
      <c r="C49" s="509"/>
      <c r="D49" s="477"/>
    </row>
    <row r="50" spans="1:5">
      <c r="A50" s="514" t="s">
        <v>54</v>
      </c>
      <c r="B50" s="487"/>
      <c r="C50" s="485"/>
      <c r="D50" s="477"/>
    </row>
    <row r="51" spans="1:5" s="105" customFormat="1" ht="12.75">
      <c r="A51" s="118" t="s">
        <v>501</v>
      </c>
      <c r="B51" s="201"/>
      <c r="C51" s="516"/>
      <c r="D51" s="477"/>
      <c r="E51" s="499"/>
    </row>
    <row r="52" spans="1:5">
      <c r="A52" s="514" t="s">
        <v>502</v>
      </c>
      <c r="B52" s="487"/>
      <c r="C52" s="517"/>
      <c r="D52" s="477"/>
    </row>
    <row r="53" spans="1:5">
      <c r="A53" s="514" t="s">
        <v>57</v>
      </c>
      <c r="B53" s="487"/>
      <c r="C53" s="517"/>
      <c r="D53" s="477"/>
    </row>
    <row r="54" spans="1:5">
      <c r="A54" s="514" t="s">
        <v>58</v>
      </c>
      <c r="B54" s="487"/>
      <c r="C54" s="517"/>
      <c r="D54" s="477"/>
    </row>
    <row r="55" spans="1:5">
      <c r="A55" s="514" t="s">
        <v>59</v>
      </c>
      <c r="B55" s="487"/>
      <c r="C55" s="517"/>
      <c r="D55" s="477"/>
    </row>
    <row r="56" spans="1:5" ht="15.75">
      <c r="A56" s="515" t="s">
        <v>60</v>
      </c>
      <c r="B56" s="492">
        <f>B51+B52</f>
        <v>0</v>
      </c>
      <c r="C56" s="518"/>
      <c r="D56" s="477"/>
    </row>
    <row r="57" spans="1:5">
      <c r="A57" s="519" t="s">
        <v>61</v>
      </c>
      <c r="B57" s="407">
        <f>3.051*(B13+B14)</f>
        <v>45227.7189</v>
      </c>
      <c r="C57" s="539" t="s">
        <v>647</v>
      </c>
      <c r="D57" s="477"/>
    </row>
    <row r="58" spans="1:5">
      <c r="A58" s="520" t="s">
        <v>62</v>
      </c>
      <c r="B58" s="407">
        <f>1.54*(B14+B13)</f>
        <v>22828.806</v>
      </c>
      <c r="C58" s="540" t="s">
        <v>648</v>
      </c>
      <c r="D58" s="477"/>
    </row>
    <row r="59" spans="1:5">
      <c r="A59" s="488" t="s">
        <v>63</v>
      </c>
      <c r="B59" s="440">
        <f>(B43+B49)*0.348</f>
        <v>556701.07614605757</v>
      </c>
      <c r="C59" s="381" t="s">
        <v>514</v>
      </c>
      <c r="D59" s="477"/>
    </row>
    <row r="60" spans="1:5" ht="25.5">
      <c r="A60" s="488" t="s">
        <v>121</v>
      </c>
      <c r="B60" s="487">
        <f>(B43+B49+B56+B59)*0.132</f>
        <v>284647.01921012904</v>
      </c>
      <c r="C60" s="517" t="s">
        <v>503</v>
      </c>
      <c r="D60" s="477" t="s">
        <v>85</v>
      </c>
    </row>
    <row r="61" spans="1:5" ht="15.75">
      <c r="A61" s="441" t="s">
        <v>122</v>
      </c>
      <c r="B61" s="492">
        <f>B57+B58+B59+B60</f>
        <v>909404.62025618658</v>
      </c>
      <c r="C61" s="518"/>
      <c r="D61" s="477"/>
    </row>
    <row r="62" spans="1:5">
      <c r="A62" s="488" t="s">
        <v>64</v>
      </c>
      <c r="B62" s="487">
        <f>(B43+B49+B56+B61)*3%</f>
        <v>75273.610689242298</v>
      </c>
      <c r="C62" s="517"/>
      <c r="D62" s="477"/>
    </row>
    <row r="63" spans="1:5" ht="15.75">
      <c r="A63" s="522" t="s">
        <v>26</v>
      </c>
      <c r="B63" s="537">
        <f>B43+B49+B56+B61+B62</f>
        <v>2584393.9669973189</v>
      </c>
      <c r="C63" s="524"/>
      <c r="D63" s="477"/>
    </row>
    <row r="64" spans="1:5" ht="15.75">
      <c r="A64" s="522" t="s">
        <v>65</v>
      </c>
      <c r="B64" s="537">
        <f>B63*1.2</f>
        <v>3101272.7603967828</v>
      </c>
      <c r="C64" s="524"/>
      <c r="D64" s="477"/>
    </row>
    <row r="65" spans="1:4" ht="15.75">
      <c r="A65" s="525"/>
      <c r="B65" s="492">
        <f>B28-B64</f>
        <v>600404.70360321691</v>
      </c>
      <c r="C65" s="526"/>
      <c r="D65" s="477"/>
    </row>
    <row r="66" spans="1:4" ht="30">
      <c r="A66" s="527" t="s">
        <v>123</v>
      </c>
      <c r="B66" s="528">
        <f>B64/(B13+B14)/12</f>
        <v>17.433967896419425</v>
      </c>
      <c r="C66" s="529" t="s">
        <v>547</v>
      </c>
      <c r="D66" s="530"/>
    </row>
    <row r="67" spans="1:4">
      <c r="A67" s="531"/>
      <c r="B67" s="532"/>
      <c r="C67" s="533"/>
      <c r="D67" s="534"/>
    </row>
    <row r="68" spans="1:4">
      <c r="A68" s="799" t="s">
        <v>124</v>
      </c>
      <c r="B68" s="799"/>
      <c r="C68" s="799"/>
      <c r="D68" s="205"/>
    </row>
    <row r="69" spans="1:4">
      <c r="A69" s="800" t="s">
        <v>518</v>
      </c>
      <c r="B69" s="800"/>
      <c r="C69" s="800"/>
      <c r="D69" s="205"/>
    </row>
    <row r="70" spans="1:4">
      <c r="A70" s="800" t="s">
        <v>519</v>
      </c>
      <c r="B70" s="800"/>
      <c r="C70" s="800"/>
      <c r="D70" s="205"/>
    </row>
    <row r="71" spans="1:4">
      <c r="A71" s="160"/>
      <c r="B71" s="453"/>
      <c r="D71" s="205"/>
    </row>
    <row r="72" spans="1:4">
      <c r="A72" s="797" t="s">
        <v>505</v>
      </c>
      <c r="B72" s="797"/>
      <c r="C72" s="797"/>
      <c r="D72" s="205"/>
    </row>
    <row r="73" spans="1:4">
      <c r="A73" s="160"/>
      <c r="B73" s="161"/>
      <c r="C73" s="162"/>
      <c r="D73" s="205"/>
    </row>
    <row r="74" spans="1:4" ht="18.75">
      <c r="A74" s="170"/>
      <c r="B74" s="170"/>
      <c r="C74" s="170"/>
    </row>
  </sheetData>
  <mergeCells count="6">
    <mergeCell ref="A72:C72"/>
    <mergeCell ref="A9:D9"/>
    <mergeCell ref="A10:D11"/>
    <mergeCell ref="A68:C68"/>
    <mergeCell ref="A69:C69"/>
    <mergeCell ref="A70:C70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G72"/>
  <sheetViews>
    <sheetView workbookViewId="0">
      <selection activeCell="E1" sqref="E1:G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2.28515625" style="466" hidden="1" customWidth="1"/>
    <col min="6" max="6" width="26.7109375" style="162" hidden="1" customWidth="1"/>
    <col min="7" max="7" width="8.42578125" style="162" hidden="1" customWidth="1"/>
    <col min="8" max="16384" width="9.140625" style="162"/>
  </cols>
  <sheetData>
    <row r="1" spans="1:7" ht="15.75">
      <c r="C1" s="465" t="s">
        <v>0</v>
      </c>
      <c r="D1" s="194"/>
    </row>
    <row r="2" spans="1:7" ht="15.75">
      <c r="C2" s="465" t="s">
        <v>216</v>
      </c>
      <c r="D2" s="194"/>
    </row>
    <row r="3" spans="1:7" ht="15.75">
      <c r="C3" s="465" t="s">
        <v>189</v>
      </c>
      <c r="D3" s="194"/>
    </row>
    <row r="4" spans="1:7" ht="15.75">
      <c r="C4" s="465"/>
      <c r="D4" s="194"/>
    </row>
    <row r="5" spans="1:7" ht="15.75">
      <c r="C5" s="465" t="s">
        <v>217</v>
      </c>
      <c r="D5" s="194"/>
    </row>
    <row r="6" spans="1:7" ht="30" customHeight="1">
      <c r="C6" s="70"/>
    </row>
    <row r="7" spans="1:7" ht="32.25" customHeight="1">
      <c r="A7" s="798" t="s">
        <v>478</v>
      </c>
      <c r="B7" s="798"/>
      <c r="C7" s="798"/>
      <c r="D7" s="798"/>
    </row>
    <row r="8" spans="1:7" ht="15" customHeight="1">
      <c r="A8" s="798" t="s">
        <v>548</v>
      </c>
      <c r="B8" s="798"/>
      <c r="C8" s="798"/>
      <c r="D8" s="798"/>
    </row>
    <row r="9" spans="1:7" ht="15" customHeight="1">
      <c r="A9" s="798"/>
      <c r="B9" s="798"/>
      <c r="C9" s="798"/>
      <c r="D9" s="798"/>
    </row>
    <row r="10" spans="1:7" ht="15.75">
      <c r="A10" s="73"/>
      <c r="B10" s="73"/>
      <c r="C10" s="73"/>
    </row>
    <row r="11" spans="1:7" ht="15.75">
      <c r="A11" s="74" t="s">
        <v>2</v>
      </c>
      <c r="B11" s="454">
        <f>G15</f>
        <v>2748</v>
      </c>
      <c r="C11" s="76" t="s">
        <v>527</v>
      </c>
    </row>
    <row r="12" spans="1:7" s="469" customFormat="1" ht="15.75">
      <c r="A12" s="77" t="s">
        <v>3</v>
      </c>
      <c r="B12" s="468">
        <v>0</v>
      </c>
      <c r="C12" s="79"/>
      <c r="E12" s="470"/>
    </row>
    <row r="13" spans="1:7" s="469" customFormat="1" ht="15.75">
      <c r="A13" s="77"/>
      <c r="B13" s="195"/>
      <c r="C13" s="79"/>
      <c r="E13" s="470"/>
    </row>
    <row r="14" spans="1:7" ht="31.5">
      <c r="A14" s="471" t="s">
        <v>4</v>
      </c>
      <c r="B14" s="472" t="s">
        <v>5</v>
      </c>
      <c r="C14" s="472" t="s">
        <v>661</v>
      </c>
      <c r="D14" s="473" t="s">
        <v>84</v>
      </c>
      <c r="F14" s="253" t="s">
        <v>132</v>
      </c>
      <c r="G14" s="254">
        <v>22.47</v>
      </c>
    </row>
    <row r="15" spans="1:7">
      <c r="A15" s="474" t="s">
        <v>7</v>
      </c>
      <c r="B15" s="475">
        <f>B11*G14*12</f>
        <v>740970.72</v>
      </c>
      <c r="C15" s="481" t="s">
        <v>652</v>
      </c>
      <c r="D15" s="477" t="s">
        <v>85</v>
      </c>
      <c r="F15" s="259" t="s">
        <v>134</v>
      </c>
      <c r="G15" s="260">
        <v>2748</v>
      </c>
    </row>
    <row r="16" spans="1:7">
      <c r="A16" s="474" t="s">
        <v>9</v>
      </c>
      <c r="B16" s="478">
        <f>B12</f>
        <v>0</v>
      </c>
      <c r="C16" s="481"/>
      <c r="D16" s="477"/>
      <c r="F16" s="259" t="s">
        <v>135</v>
      </c>
      <c r="G16" s="260">
        <v>48</v>
      </c>
    </row>
    <row r="17" spans="1:7" ht="15.75">
      <c r="A17" s="543" t="s">
        <v>12</v>
      </c>
      <c r="B17" s="544">
        <f>B15+B16</f>
        <v>740970.72</v>
      </c>
      <c r="C17" s="545"/>
      <c r="D17" s="477"/>
      <c r="E17" s="162"/>
      <c r="F17" s="259" t="s">
        <v>136</v>
      </c>
      <c r="G17" s="260">
        <v>150</v>
      </c>
    </row>
    <row r="18" spans="1:7">
      <c r="A18" s="546" t="s">
        <v>13</v>
      </c>
      <c r="B18" s="478">
        <f>B19+B20+B21+B22+B23+B24</f>
        <v>5189.76</v>
      </c>
      <c r="C18" s="545"/>
      <c r="D18" s="477"/>
      <c r="F18" s="247" t="s">
        <v>459</v>
      </c>
      <c r="G18" s="248">
        <v>0</v>
      </c>
    </row>
    <row r="19" spans="1:7">
      <c r="A19" s="476" t="s">
        <v>14</v>
      </c>
      <c r="B19" s="478">
        <f>34.98*12</f>
        <v>419.76</v>
      </c>
      <c r="C19" s="545" t="s">
        <v>15</v>
      </c>
      <c r="D19" s="477" t="s">
        <v>85</v>
      </c>
      <c r="F19" s="259" t="s">
        <v>139</v>
      </c>
      <c r="G19" s="260">
        <v>429</v>
      </c>
    </row>
    <row r="20" spans="1:7">
      <c r="A20" s="476" t="s">
        <v>16</v>
      </c>
      <c r="B20" s="478">
        <f>137.5*12*0</f>
        <v>0</v>
      </c>
      <c r="C20" s="545" t="s">
        <v>17</v>
      </c>
      <c r="D20" s="477" t="s">
        <v>85</v>
      </c>
      <c r="F20" s="259" t="s">
        <v>140</v>
      </c>
      <c r="G20" s="260">
        <v>2</v>
      </c>
    </row>
    <row r="21" spans="1:7">
      <c r="A21" s="541" t="s">
        <v>18</v>
      </c>
      <c r="B21" s="172">
        <f>123.75*12</f>
        <v>1485</v>
      </c>
      <c r="C21" s="542" t="s">
        <v>19</v>
      </c>
      <c r="D21" s="477" t="s">
        <v>85</v>
      </c>
      <c r="F21" s="259" t="s">
        <v>141</v>
      </c>
      <c r="G21" s="260">
        <v>1</v>
      </c>
    </row>
    <row r="22" spans="1:7">
      <c r="A22" s="488" t="s">
        <v>20</v>
      </c>
      <c r="B22" s="487">
        <f>123.75*12</f>
        <v>1485</v>
      </c>
      <c r="C22" s="485" t="s">
        <v>19</v>
      </c>
      <c r="D22" s="477" t="s">
        <v>85</v>
      </c>
      <c r="F22" s="259" t="s">
        <v>142</v>
      </c>
      <c r="G22" s="260">
        <v>756.1</v>
      </c>
    </row>
    <row r="23" spans="1:7">
      <c r="A23" s="488" t="s">
        <v>66</v>
      </c>
      <c r="B23" s="487">
        <f>150*12</f>
        <v>1800</v>
      </c>
      <c r="C23" s="485" t="s">
        <v>21</v>
      </c>
      <c r="D23" s="477" t="s">
        <v>85</v>
      </c>
      <c r="F23" s="259" t="s">
        <v>143</v>
      </c>
      <c r="G23" s="277">
        <v>1282.0999999999999</v>
      </c>
    </row>
    <row r="24" spans="1:7">
      <c r="A24" s="488" t="s">
        <v>22</v>
      </c>
      <c r="B24" s="487">
        <f>137.5*12*0</f>
        <v>0</v>
      </c>
      <c r="C24" s="485" t="s">
        <v>17</v>
      </c>
      <c r="D24" s="477" t="s">
        <v>85</v>
      </c>
      <c r="F24" s="259" t="s">
        <v>144</v>
      </c>
      <c r="G24" s="278">
        <v>0</v>
      </c>
    </row>
    <row r="25" spans="1:7">
      <c r="A25" s="486" t="s">
        <v>24</v>
      </c>
      <c r="B25" s="487">
        <v>0</v>
      </c>
      <c r="C25" s="489"/>
      <c r="D25" s="490"/>
      <c r="F25" s="259" t="s">
        <v>145</v>
      </c>
      <c r="G25" s="278">
        <v>327.2</v>
      </c>
    </row>
    <row r="26" spans="1:7" ht="18.75">
      <c r="A26" s="491" t="s">
        <v>26</v>
      </c>
      <c r="B26" s="492">
        <f>B17+B18+B25</f>
        <v>746160.48</v>
      </c>
      <c r="C26" s="489"/>
      <c r="D26" s="490"/>
      <c r="F26" s="259" t="s">
        <v>460</v>
      </c>
      <c r="G26" s="278">
        <v>6.75</v>
      </c>
    </row>
    <row r="27" spans="1:7" ht="15.75">
      <c r="A27" s="493" t="s">
        <v>27</v>
      </c>
      <c r="B27" s="100" t="s">
        <v>5</v>
      </c>
      <c r="C27" s="197" t="s">
        <v>28</v>
      </c>
      <c r="D27" s="490"/>
      <c r="F27" s="259" t="s">
        <v>461</v>
      </c>
      <c r="G27" s="278">
        <f>(G22/3+G23)/2920</f>
        <v>0.52538812785388123</v>
      </c>
    </row>
    <row r="28" spans="1:7">
      <c r="A28" s="494" t="s">
        <v>29</v>
      </c>
      <c r="B28" s="487"/>
      <c r="C28" s="495"/>
      <c r="D28" s="490"/>
      <c r="F28" s="259" t="s">
        <v>148</v>
      </c>
      <c r="G28" s="278">
        <f>G16/144</f>
        <v>0.33333333333333331</v>
      </c>
    </row>
    <row r="29" spans="1:7" ht="69.75" customHeight="1">
      <c r="A29" s="496" t="s">
        <v>30</v>
      </c>
      <c r="B29" s="340">
        <f>(G27*(3708+200)*1.5*1.15*1.083*1.302*6)+G27*((3708+200)*1.5*1.15*1.083*1.302*6)+(0.104*G22*12)</f>
        <v>60873.656753016323</v>
      </c>
      <c r="C29" s="341" t="s">
        <v>636</v>
      </c>
      <c r="D29" s="288" t="s">
        <v>86</v>
      </c>
      <c r="F29" s="259" t="s">
        <v>149</v>
      </c>
      <c r="G29" s="279">
        <v>0</v>
      </c>
    </row>
    <row r="30" spans="1:7" ht="30">
      <c r="A30" s="287" t="s">
        <v>31</v>
      </c>
      <c r="B30" s="342">
        <f>(G29*9921.13*6)+(G29*10317.11*6)</f>
        <v>0</v>
      </c>
      <c r="C30" s="343" t="s">
        <v>509</v>
      </c>
      <c r="D30" s="258"/>
      <c r="F30" s="247" t="s">
        <v>151</v>
      </c>
      <c r="G30" s="279">
        <v>12</v>
      </c>
    </row>
    <row r="31" spans="1:7" ht="49.5" customHeight="1">
      <c r="A31" s="287" t="s">
        <v>32</v>
      </c>
      <c r="B31" s="498">
        <f>(0.33*9921.13*6)+(0.33*10317.11*6)+(48*10.41812*12)</f>
        <v>46072.552320000003</v>
      </c>
      <c r="C31" s="344" t="s">
        <v>637</v>
      </c>
      <c r="D31" s="258"/>
      <c r="F31" s="247" t="s">
        <v>462</v>
      </c>
      <c r="G31" s="279">
        <v>296</v>
      </c>
    </row>
    <row r="32" spans="1:7">
      <c r="A32" s="287" t="s">
        <v>34</v>
      </c>
      <c r="B32" s="345">
        <f>(16.06+16.7)*G16</f>
        <v>1572.48</v>
      </c>
      <c r="C32" s="346" t="s">
        <v>602</v>
      </c>
      <c r="D32" s="258" t="s">
        <v>88</v>
      </c>
      <c r="F32" s="285" t="s">
        <v>463</v>
      </c>
      <c r="G32" s="286">
        <v>296</v>
      </c>
    </row>
    <row r="33" spans="1:7" ht="30">
      <c r="A33" s="287" t="s">
        <v>35</v>
      </c>
      <c r="B33" s="345">
        <f>(49.72+51.71)*2*0</f>
        <v>0</v>
      </c>
      <c r="C33" s="346" t="s">
        <v>469</v>
      </c>
      <c r="D33" s="258"/>
      <c r="F33" s="289" t="s">
        <v>464</v>
      </c>
      <c r="G33" s="290">
        <v>12643</v>
      </c>
    </row>
    <row r="34" spans="1:7">
      <c r="A34" s="287" t="s">
        <v>36</v>
      </c>
      <c r="B34" s="347">
        <f>0.25*G31*12</f>
        <v>888</v>
      </c>
      <c r="C34" s="348" t="s">
        <v>653</v>
      </c>
      <c r="D34" s="258" t="s">
        <v>85</v>
      </c>
      <c r="F34" s="247" t="s">
        <v>465</v>
      </c>
      <c r="G34" s="279">
        <v>1</v>
      </c>
    </row>
    <row r="35" spans="1:7">
      <c r="A35" s="291" t="s">
        <v>37</v>
      </c>
      <c r="B35" s="345">
        <f>2.34*G31*4</f>
        <v>2770.56</v>
      </c>
      <c r="C35" s="251" t="s">
        <v>654</v>
      </c>
      <c r="D35" s="258" t="s">
        <v>89</v>
      </c>
      <c r="F35" s="247" t="s">
        <v>467</v>
      </c>
      <c r="G35" s="279">
        <v>2</v>
      </c>
    </row>
    <row r="36" spans="1:7" ht="30">
      <c r="A36" s="417" t="s">
        <v>67</v>
      </c>
      <c r="B36" s="381">
        <f>(635.59*6+661.01*6)*G34</f>
        <v>7779.6</v>
      </c>
      <c r="C36" s="385" t="s">
        <v>496</v>
      </c>
      <c r="D36" s="377" t="s">
        <v>85</v>
      </c>
    </row>
    <row r="37" spans="1:7" ht="30">
      <c r="A37" s="417" t="s">
        <v>190</v>
      </c>
      <c r="B37" s="418">
        <f>(466.1*6+484.74*6)*G18</f>
        <v>0</v>
      </c>
      <c r="C37" s="385" t="s">
        <v>497</v>
      </c>
      <c r="D37" s="377" t="s">
        <v>85</v>
      </c>
    </row>
    <row r="38" spans="1:7" ht="30">
      <c r="A38" s="385" t="s">
        <v>536</v>
      </c>
      <c r="B38" s="383">
        <f>G16*(42.9*6+44.62*6)</f>
        <v>25205.759999999995</v>
      </c>
      <c r="C38" s="417" t="s">
        <v>640</v>
      </c>
      <c r="D38" s="505"/>
    </row>
    <row r="39" spans="1:7">
      <c r="A39" s="385" t="s">
        <v>529</v>
      </c>
      <c r="B39" s="383">
        <f>3750*12*2</f>
        <v>90000</v>
      </c>
      <c r="C39" s="417" t="s">
        <v>607</v>
      </c>
      <c r="D39" s="504" t="s">
        <v>85</v>
      </c>
    </row>
    <row r="40" spans="1:7">
      <c r="A40" s="385" t="s">
        <v>530</v>
      </c>
      <c r="B40" s="383">
        <f>4190*2</f>
        <v>8380</v>
      </c>
      <c r="C40" s="417" t="s">
        <v>605</v>
      </c>
      <c r="D40" s="505" t="s">
        <v>532</v>
      </c>
    </row>
    <row r="41" spans="1:7" ht="15.75">
      <c r="A41" s="507" t="s">
        <v>47</v>
      </c>
      <c r="B41" s="492">
        <f>SUM(B29:B40)</f>
        <v>243542.60907301633</v>
      </c>
      <c r="C41" s="509"/>
      <c r="D41" s="477"/>
    </row>
    <row r="42" spans="1:7">
      <c r="A42" s="496" t="s">
        <v>48</v>
      </c>
      <c r="B42" s="487"/>
      <c r="C42" s="485"/>
      <c r="D42" s="477"/>
    </row>
    <row r="43" spans="1:7" ht="45">
      <c r="A43" s="421" t="s">
        <v>49</v>
      </c>
      <c r="B43" s="413">
        <f>(G26*100.2134*6)+(G26*104.2268)+(1.71*(B12+B11)*12)</f>
        <v>61151.133600000001</v>
      </c>
      <c r="C43" s="422" t="s">
        <v>655</v>
      </c>
      <c r="D43" s="423"/>
    </row>
    <row r="44" spans="1:7" ht="120">
      <c r="A44" s="426" t="s">
        <v>120</v>
      </c>
      <c r="B44" s="427">
        <f>17.51*(B12+B11)</f>
        <v>48117.48</v>
      </c>
      <c r="C44" s="428" t="s">
        <v>549</v>
      </c>
      <c r="D44" s="377"/>
    </row>
    <row r="45" spans="1:7" ht="63">
      <c r="A45" s="456" t="s">
        <v>51</v>
      </c>
      <c r="B45" s="457">
        <f>(654.11+263.56/3)*G33/1000</f>
        <v>9380.6424233333346</v>
      </c>
      <c r="C45" s="458" t="s">
        <v>656</v>
      </c>
      <c r="D45" s="459" t="s">
        <v>91</v>
      </c>
    </row>
    <row r="46" spans="1:7" ht="60">
      <c r="A46" s="430" t="s">
        <v>52</v>
      </c>
      <c r="B46" s="431">
        <f>((G25/12*6*100.2134)+(G25/12*6*104.2268))+((G25/12*6*100.2134)+(G25/12*6*104.2268))/1.302*25%</f>
        <v>39868.53974611366</v>
      </c>
      <c r="C46" s="422" t="s">
        <v>657</v>
      </c>
      <c r="D46" s="377"/>
    </row>
    <row r="47" spans="1:7" ht="15.75">
      <c r="A47" s="515" t="s">
        <v>53</v>
      </c>
      <c r="B47" s="492">
        <f>SUM(B43:B46)</f>
        <v>158517.795769447</v>
      </c>
      <c r="C47" s="509"/>
      <c r="D47" s="477"/>
    </row>
    <row r="48" spans="1:7">
      <c r="A48" s="514" t="s">
        <v>54</v>
      </c>
      <c r="B48" s="487"/>
      <c r="C48" s="485"/>
      <c r="D48" s="477"/>
    </row>
    <row r="49" spans="1:5" s="105" customFormat="1" ht="12.75">
      <c r="A49" s="118" t="s">
        <v>501</v>
      </c>
      <c r="B49" s="201"/>
      <c r="C49" s="516"/>
      <c r="D49" s="477"/>
      <c r="E49" s="499"/>
    </row>
    <row r="50" spans="1:5">
      <c r="A50" s="514" t="s">
        <v>502</v>
      </c>
      <c r="B50" s="487"/>
      <c r="C50" s="517"/>
      <c r="D50" s="477"/>
    </row>
    <row r="51" spans="1:5">
      <c r="A51" s="514" t="s">
        <v>57</v>
      </c>
      <c r="B51" s="487"/>
      <c r="C51" s="517"/>
      <c r="D51" s="477"/>
    </row>
    <row r="52" spans="1:5">
      <c r="A52" s="514" t="s">
        <v>58</v>
      </c>
      <c r="B52" s="487"/>
      <c r="C52" s="517"/>
      <c r="D52" s="477"/>
    </row>
    <row r="53" spans="1:5">
      <c r="A53" s="514" t="s">
        <v>59</v>
      </c>
      <c r="B53" s="487"/>
      <c r="C53" s="517"/>
      <c r="D53" s="477"/>
    </row>
    <row r="54" spans="1:5" ht="15.75">
      <c r="A54" s="515" t="s">
        <v>60</v>
      </c>
      <c r="B54" s="508">
        <f>B49+B50</f>
        <v>0</v>
      </c>
      <c r="C54" s="518"/>
      <c r="D54" s="477"/>
    </row>
    <row r="55" spans="1:5">
      <c r="A55" s="519" t="s">
        <v>61</v>
      </c>
      <c r="B55" s="407">
        <f>3.051*(2748+0)</f>
        <v>8384.148000000001</v>
      </c>
      <c r="C55" s="539" t="s">
        <v>658</v>
      </c>
      <c r="D55" s="477"/>
    </row>
    <row r="56" spans="1:5">
      <c r="A56" s="520" t="s">
        <v>62</v>
      </c>
      <c r="B56" s="407">
        <f>1.54*(2748+0)</f>
        <v>4231.92</v>
      </c>
      <c r="C56" s="540" t="s">
        <v>659</v>
      </c>
      <c r="D56" s="477"/>
    </row>
    <row r="57" spans="1:5">
      <c r="A57" s="488" t="s">
        <v>63</v>
      </c>
      <c r="B57" s="440">
        <f>(B41+B47)*0.348</f>
        <v>139917.02088517722</v>
      </c>
      <c r="C57" s="381" t="s">
        <v>514</v>
      </c>
      <c r="D57" s="477"/>
    </row>
    <row r="58" spans="1:5" ht="25.5">
      <c r="A58" s="488" t="s">
        <v>121</v>
      </c>
      <c r="B58" s="487">
        <f>(B41+B47+B54+B57)*0.132</f>
        <v>71541.020196048557</v>
      </c>
      <c r="C58" s="517" t="s">
        <v>503</v>
      </c>
      <c r="D58" s="477" t="s">
        <v>85</v>
      </c>
    </row>
    <row r="59" spans="1:5" ht="15.75">
      <c r="A59" s="441" t="s">
        <v>122</v>
      </c>
      <c r="B59" s="492">
        <f>B55+B56+B57+B58</f>
        <v>224074.10908122576</v>
      </c>
      <c r="C59" s="518"/>
      <c r="D59" s="477"/>
    </row>
    <row r="60" spans="1:5">
      <c r="A60" s="488" t="s">
        <v>64</v>
      </c>
      <c r="B60" s="487">
        <f>(B41+B47+B54+B59)*3%</f>
        <v>18784.035417710671</v>
      </c>
      <c r="C60" s="517"/>
      <c r="D60" s="477"/>
    </row>
    <row r="61" spans="1:5" ht="15.75">
      <c r="A61" s="522" t="s">
        <v>26</v>
      </c>
      <c r="B61" s="523">
        <f>B41+B47+B54+B59+B60</f>
        <v>644918.54934139969</v>
      </c>
      <c r="C61" s="524"/>
      <c r="D61" s="477"/>
    </row>
    <row r="62" spans="1:5" ht="15.75">
      <c r="A62" s="522" t="s">
        <v>65</v>
      </c>
      <c r="B62" s="523">
        <f>B61*1.2</f>
        <v>773902.25920967956</v>
      </c>
      <c r="C62" s="524"/>
      <c r="D62" s="477"/>
    </row>
    <row r="63" spans="1:5" ht="15.75">
      <c r="A63" s="525"/>
      <c r="B63" s="492">
        <f>B26-B62</f>
        <v>-27741.779209679575</v>
      </c>
      <c r="C63" s="526"/>
      <c r="D63" s="477"/>
    </row>
    <row r="64" spans="1:5" ht="30">
      <c r="A64" s="527" t="s">
        <v>123</v>
      </c>
      <c r="B64" s="528">
        <f>B62/(B11+B12)/12</f>
        <v>23.468651722758356</v>
      </c>
      <c r="C64" s="529" t="s">
        <v>550</v>
      </c>
      <c r="D64" s="530"/>
    </row>
    <row r="65" spans="1:4">
      <c r="A65" s="531"/>
      <c r="B65" s="532"/>
      <c r="C65" s="533"/>
      <c r="D65" s="534"/>
    </row>
    <row r="66" spans="1:4" ht="15" customHeight="1">
      <c r="A66" s="799" t="s">
        <v>124</v>
      </c>
      <c r="B66" s="799"/>
      <c r="C66" s="799"/>
      <c r="D66" s="205"/>
    </row>
    <row r="67" spans="1:4" ht="30" customHeight="1">
      <c r="A67" s="800" t="s">
        <v>518</v>
      </c>
      <c r="B67" s="800"/>
      <c r="C67" s="800"/>
      <c r="D67" s="205"/>
    </row>
    <row r="68" spans="1:4" ht="27.75" customHeight="1">
      <c r="A68" s="800" t="s">
        <v>519</v>
      </c>
      <c r="B68" s="800"/>
      <c r="C68" s="800"/>
      <c r="D68" s="205"/>
    </row>
    <row r="69" spans="1:4" ht="25.5" customHeight="1">
      <c r="A69" s="160"/>
      <c r="B69" s="453"/>
      <c r="D69" s="205"/>
    </row>
    <row r="70" spans="1:4">
      <c r="A70" s="797" t="s">
        <v>505</v>
      </c>
      <c r="B70" s="797"/>
      <c r="C70" s="797"/>
      <c r="D70" s="205"/>
    </row>
    <row r="71" spans="1:4">
      <c r="A71" s="160"/>
      <c r="B71" s="161"/>
      <c r="C71" s="162"/>
      <c r="D71" s="205"/>
    </row>
    <row r="72" spans="1:4" ht="18.75">
      <c r="A72" s="170"/>
      <c r="B72" s="170"/>
      <c r="C72" s="170"/>
    </row>
  </sheetData>
  <mergeCells count="6">
    <mergeCell ref="A70:C70"/>
    <mergeCell ref="A7:D7"/>
    <mergeCell ref="A8:D9"/>
    <mergeCell ref="A66:C66"/>
    <mergeCell ref="A67:C67"/>
    <mergeCell ref="A68:C68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3:G73"/>
  <sheetViews>
    <sheetView workbookViewId="0">
      <selection activeCell="E40" sqref="E1:H1048576"/>
    </sheetView>
  </sheetViews>
  <sheetFormatPr defaultRowHeight="15"/>
  <cols>
    <col min="1" max="1" width="44.7109375" style="193" customWidth="1"/>
    <col min="2" max="2" width="14.5703125" style="193" customWidth="1"/>
    <col min="3" max="3" width="37" style="193" customWidth="1"/>
    <col min="4" max="4" width="17" style="162" customWidth="1"/>
    <col min="5" max="5" width="2.140625" style="466" hidden="1" customWidth="1"/>
    <col min="6" max="6" width="26.7109375" style="162" hidden="1" customWidth="1"/>
    <col min="7" max="7" width="8.42578125" style="162" hidden="1" customWidth="1"/>
    <col min="8" max="8" width="0" style="162" hidden="1" customWidth="1"/>
    <col min="9" max="16384" width="9.140625" style="162"/>
  </cols>
  <sheetData>
    <row r="3" spans="1:7" ht="15.75">
      <c r="C3" s="465" t="s">
        <v>0</v>
      </c>
      <c r="D3" s="194"/>
    </row>
    <row r="4" spans="1:7" ht="15.75">
      <c r="C4" s="465" t="s">
        <v>216</v>
      </c>
      <c r="D4" s="194"/>
    </row>
    <row r="5" spans="1:7" ht="15.75">
      <c r="C5" s="465" t="s">
        <v>189</v>
      </c>
      <c r="D5" s="194"/>
    </row>
    <row r="6" spans="1:7" ht="15.75">
      <c r="C6" s="465"/>
      <c r="D6" s="194"/>
    </row>
    <row r="7" spans="1:7" ht="15.75">
      <c r="C7" s="465" t="s">
        <v>217</v>
      </c>
      <c r="D7" s="194"/>
    </row>
    <row r="8" spans="1:7" ht="30" customHeight="1">
      <c r="C8" s="70"/>
    </row>
    <row r="9" spans="1:7" ht="32.25" customHeight="1">
      <c r="A9" s="798" t="s">
        <v>478</v>
      </c>
      <c r="B9" s="798"/>
      <c r="C9" s="798"/>
      <c r="D9" s="798"/>
    </row>
    <row r="10" spans="1:7" ht="15" customHeight="1">
      <c r="A10" s="798" t="s">
        <v>551</v>
      </c>
      <c r="B10" s="798"/>
      <c r="C10" s="798"/>
      <c r="D10" s="798"/>
    </row>
    <row r="11" spans="1:7" ht="15" customHeight="1">
      <c r="A11" s="798"/>
      <c r="B11" s="798"/>
      <c r="C11" s="798"/>
      <c r="D11" s="798"/>
    </row>
    <row r="12" spans="1:7" ht="15.75">
      <c r="A12" s="73"/>
      <c r="B12" s="73"/>
      <c r="C12" s="73"/>
    </row>
    <row r="13" spans="1:7" ht="15.75">
      <c r="A13" s="74" t="s">
        <v>2</v>
      </c>
      <c r="B13" s="454">
        <f>G17</f>
        <v>3821.7</v>
      </c>
      <c r="C13" s="76" t="s">
        <v>527</v>
      </c>
    </row>
    <row r="14" spans="1:7" s="469" customFormat="1" ht="15.75">
      <c r="A14" s="77" t="s">
        <v>3</v>
      </c>
      <c r="B14" s="468">
        <v>0</v>
      </c>
      <c r="C14" s="79"/>
      <c r="E14" s="470"/>
    </row>
    <row r="15" spans="1:7" s="469" customFormat="1" ht="15.75">
      <c r="A15" s="77"/>
      <c r="B15" s="195"/>
      <c r="C15" s="79"/>
      <c r="E15" s="470"/>
    </row>
    <row r="16" spans="1:7" ht="31.5">
      <c r="A16" s="471" t="s">
        <v>4</v>
      </c>
      <c r="B16" s="472" t="s">
        <v>5</v>
      </c>
      <c r="C16" s="472" t="s">
        <v>661</v>
      </c>
      <c r="D16" s="473" t="s">
        <v>84</v>
      </c>
      <c r="F16" s="253" t="s">
        <v>132</v>
      </c>
      <c r="G16" s="254">
        <v>22.44</v>
      </c>
    </row>
    <row r="17" spans="1:7">
      <c r="A17" s="474" t="s">
        <v>7</v>
      </c>
      <c r="B17" s="475">
        <f>B13*G16*12</f>
        <v>1029107.376</v>
      </c>
      <c r="C17" s="481" t="s">
        <v>660</v>
      </c>
      <c r="D17" s="477" t="s">
        <v>85</v>
      </c>
      <c r="F17" s="259" t="s">
        <v>134</v>
      </c>
      <c r="G17" s="260">
        <v>3821.7</v>
      </c>
    </row>
    <row r="18" spans="1:7">
      <c r="A18" s="85" t="s">
        <v>9</v>
      </c>
      <c r="B18" s="201">
        <f>B14</f>
        <v>0</v>
      </c>
      <c r="C18" s="503"/>
      <c r="D18" s="477"/>
      <c r="F18" s="259" t="s">
        <v>135</v>
      </c>
      <c r="G18" s="260">
        <v>72</v>
      </c>
    </row>
    <row r="19" spans="1:7" ht="15.75">
      <c r="A19" s="95" t="s">
        <v>12</v>
      </c>
      <c r="B19" s="538">
        <f>B17+B18</f>
        <v>1029107.376</v>
      </c>
      <c r="C19" s="485"/>
      <c r="D19" s="477"/>
      <c r="E19" s="162"/>
      <c r="F19" s="259" t="s">
        <v>136</v>
      </c>
      <c r="G19" s="260">
        <v>237</v>
      </c>
    </row>
    <row r="20" spans="1:7">
      <c r="A20" s="486" t="s">
        <v>13</v>
      </c>
      <c r="B20" s="487">
        <f>B21+B22+B23+B24+B25+B26</f>
        <v>5189.76</v>
      </c>
      <c r="C20" s="485"/>
      <c r="D20" s="477"/>
      <c r="F20" s="247" t="s">
        <v>459</v>
      </c>
      <c r="G20" s="248">
        <v>0</v>
      </c>
    </row>
    <row r="21" spans="1:7">
      <c r="A21" s="488" t="s">
        <v>14</v>
      </c>
      <c r="B21" s="487">
        <f>34.98*12</f>
        <v>419.76</v>
      </c>
      <c r="C21" s="485" t="s">
        <v>15</v>
      </c>
      <c r="D21" s="477" t="s">
        <v>85</v>
      </c>
      <c r="F21" s="259" t="s">
        <v>139</v>
      </c>
      <c r="G21" s="260">
        <v>615</v>
      </c>
    </row>
    <row r="22" spans="1:7">
      <c r="A22" s="488" t="s">
        <v>16</v>
      </c>
      <c r="B22" s="487">
        <f>137.5*12*0</f>
        <v>0</v>
      </c>
      <c r="C22" s="485" t="s">
        <v>17</v>
      </c>
      <c r="D22" s="477" t="s">
        <v>85</v>
      </c>
      <c r="F22" s="259" t="s">
        <v>140</v>
      </c>
      <c r="G22" s="260">
        <v>2</v>
      </c>
    </row>
    <row r="23" spans="1:7">
      <c r="A23" s="488" t="s">
        <v>18</v>
      </c>
      <c r="B23" s="487">
        <f>123.75*12</f>
        <v>1485</v>
      </c>
      <c r="C23" s="485" t="s">
        <v>19</v>
      </c>
      <c r="D23" s="477" t="s">
        <v>85</v>
      </c>
      <c r="F23" s="259" t="s">
        <v>141</v>
      </c>
      <c r="G23" s="260">
        <v>2</v>
      </c>
    </row>
    <row r="24" spans="1:7">
      <c r="A24" s="488" t="s">
        <v>20</v>
      </c>
      <c r="B24" s="487">
        <f>123.75*12</f>
        <v>1485</v>
      </c>
      <c r="C24" s="485" t="s">
        <v>19</v>
      </c>
      <c r="D24" s="477" t="s">
        <v>85</v>
      </c>
      <c r="F24" s="259" t="s">
        <v>142</v>
      </c>
      <c r="G24" s="260">
        <v>991</v>
      </c>
    </row>
    <row r="25" spans="1:7">
      <c r="A25" s="488" t="s">
        <v>66</v>
      </c>
      <c r="B25" s="487">
        <f>150*12</f>
        <v>1800</v>
      </c>
      <c r="C25" s="485" t="s">
        <v>21</v>
      </c>
      <c r="D25" s="477" t="s">
        <v>85</v>
      </c>
      <c r="F25" s="259" t="s">
        <v>143</v>
      </c>
      <c r="G25" s="277">
        <v>1371.5</v>
      </c>
    </row>
    <row r="26" spans="1:7">
      <c r="A26" s="488" t="s">
        <v>22</v>
      </c>
      <c r="B26" s="487">
        <f>137.5*12*0</f>
        <v>0</v>
      </c>
      <c r="C26" s="485" t="s">
        <v>17</v>
      </c>
      <c r="D26" s="477" t="s">
        <v>85</v>
      </c>
      <c r="F26" s="259" t="s">
        <v>144</v>
      </c>
      <c r="G26" s="278">
        <v>0</v>
      </c>
    </row>
    <row r="27" spans="1:7">
      <c r="A27" s="486" t="s">
        <v>24</v>
      </c>
      <c r="B27" s="487">
        <v>0</v>
      </c>
      <c r="C27" s="489"/>
      <c r="D27" s="490"/>
      <c r="F27" s="259" t="s">
        <v>145</v>
      </c>
      <c r="G27" s="278">
        <v>476.87</v>
      </c>
    </row>
    <row r="28" spans="1:7" ht="18.75">
      <c r="A28" s="491" t="s">
        <v>26</v>
      </c>
      <c r="B28" s="492">
        <f>B19+B20+B27</f>
        <v>1034297.1360000001</v>
      </c>
      <c r="C28" s="489"/>
      <c r="D28" s="490"/>
      <c r="F28" s="259" t="s">
        <v>460</v>
      </c>
      <c r="G28" s="278">
        <v>15.3</v>
      </c>
    </row>
    <row r="29" spans="1:7" ht="15.75">
      <c r="A29" s="493" t="s">
        <v>27</v>
      </c>
      <c r="B29" s="100" t="s">
        <v>5</v>
      </c>
      <c r="C29" s="197" t="s">
        <v>28</v>
      </c>
      <c r="D29" s="490"/>
      <c r="F29" s="259" t="s">
        <v>461</v>
      </c>
      <c r="G29" s="278">
        <f>(G24/3+G25)/2920</f>
        <v>0.58281963470319631</v>
      </c>
    </row>
    <row r="30" spans="1:7">
      <c r="A30" s="494" t="s">
        <v>29</v>
      </c>
      <c r="B30" s="487"/>
      <c r="C30" s="495"/>
      <c r="D30" s="490"/>
      <c r="F30" s="259" t="s">
        <v>148</v>
      </c>
      <c r="G30" s="278">
        <f>G18/144</f>
        <v>0.5</v>
      </c>
    </row>
    <row r="31" spans="1:7" ht="69.75" customHeight="1">
      <c r="A31" s="496" t="s">
        <v>30</v>
      </c>
      <c r="B31" s="340">
        <f>(G29*(3708+200)*1.5*1.15*1.083*1.302*6)+G29*((3708+200)*1.5*1.15*1.083*1.302*6)+(0.104*G24*12)</f>
        <v>67717.916835851895</v>
      </c>
      <c r="C31" s="341" t="s">
        <v>662</v>
      </c>
      <c r="D31" s="288" t="s">
        <v>86</v>
      </c>
      <c r="F31" s="259" t="s">
        <v>149</v>
      </c>
      <c r="G31" s="279">
        <v>0</v>
      </c>
    </row>
    <row r="32" spans="1:7" ht="30">
      <c r="A32" s="287" t="s">
        <v>31</v>
      </c>
      <c r="B32" s="342">
        <f>(G31*9921.13*6)+(G31*10317.11*6)</f>
        <v>0</v>
      </c>
      <c r="C32" s="343" t="s">
        <v>509</v>
      </c>
      <c r="D32" s="258"/>
      <c r="F32" s="247" t="s">
        <v>151</v>
      </c>
      <c r="G32" s="279">
        <v>9</v>
      </c>
    </row>
    <row r="33" spans="1:7" ht="45">
      <c r="A33" s="287" t="s">
        <v>32</v>
      </c>
      <c r="B33" s="498">
        <f>(G30*9921.13*6)+(G30*10317.11*6)+(G18*10.41812*12)*G23</f>
        <v>78717.231360000005</v>
      </c>
      <c r="C33" s="344" t="s">
        <v>625</v>
      </c>
      <c r="D33" s="258"/>
      <c r="F33" s="247" t="s">
        <v>462</v>
      </c>
      <c r="G33" s="279">
        <v>595</v>
      </c>
    </row>
    <row r="34" spans="1:7">
      <c r="A34" s="287" t="s">
        <v>34</v>
      </c>
      <c r="B34" s="345">
        <f>(16.06+16.7)*G18</f>
        <v>2358.7199999999998</v>
      </c>
      <c r="C34" s="346" t="s">
        <v>626</v>
      </c>
      <c r="D34" s="258" t="s">
        <v>88</v>
      </c>
      <c r="F34" s="285" t="s">
        <v>463</v>
      </c>
      <c r="G34" s="286">
        <v>595</v>
      </c>
    </row>
    <row r="35" spans="1:7" ht="30">
      <c r="A35" s="287" t="s">
        <v>35</v>
      </c>
      <c r="B35" s="345">
        <f>(49.72+51.71)*2*0</f>
        <v>0</v>
      </c>
      <c r="C35" s="346" t="s">
        <v>469</v>
      </c>
      <c r="D35" s="258"/>
      <c r="F35" s="289" t="s">
        <v>464</v>
      </c>
      <c r="G35" s="290">
        <v>15690</v>
      </c>
    </row>
    <row r="36" spans="1:7">
      <c r="A36" s="287" t="s">
        <v>36</v>
      </c>
      <c r="B36" s="347">
        <f>0.25*G33*12</f>
        <v>1785</v>
      </c>
      <c r="C36" s="348" t="s">
        <v>663</v>
      </c>
      <c r="D36" s="258" t="s">
        <v>85</v>
      </c>
      <c r="F36" s="247" t="s">
        <v>465</v>
      </c>
      <c r="G36" s="279">
        <v>1</v>
      </c>
    </row>
    <row r="37" spans="1:7">
      <c r="A37" s="291" t="s">
        <v>37</v>
      </c>
      <c r="B37" s="345">
        <f>2.34*G33*4</f>
        <v>5569.2</v>
      </c>
      <c r="C37" s="251" t="s">
        <v>664</v>
      </c>
      <c r="D37" s="258" t="s">
        <v>89</v>
      </c>
      <c r="F37" s="247" t="s">
        <v>467</v>
      </c>
      <c r="G37" s="279">
        <v>2</v>
      </c>
    </row>
    <row r="38" spans="1:7" ht="30">
      <c r="A38" s="417" t="s">
        <v>67</v>
      </c>
      <c r="B38" s="381">
        <f>(635.59*6+661.01*6)*G36</f>
        <v>7779.6</v>
      </c>
      <c r="C38" s="385" t="s">
        <v>496</v>
      </c>
      <c r="D38" s="377" t="s">
        <v>85</v>
      </c>
    </row>
    <row r="39" spans="1:7" ht="30">
      <c r="A39" s="417" t="s">
        <v>190</v>
      </c>
      <c r="B39" s="418">
        <f>(466.1*6+484.74*6)*G20</f>
        <v>0</v>
      </c>
      <c r="C39" s="385" t="s">
        <v>497</v>
      </c>
      <c r="D39" s="377" t="s">
        <v>85</v>
      </c>
    </row>
    <row r="40" spans="1:7">
      <c r="A40" s="385" t="s">
        <v>529</v>
      </c>
      <c r="B40" s="383">
        <f>3750*12*2</f>
        <v>90000</v>
      </c>
      <c r="C40" s="417" t="s">
        <v>607</v>
      </c>
      <c r="D40" s="504" t="s">
        <v>85</v>
      </c>
    </row>
    <row r="41" spans="1:7">
      <c r="A41" s="385" t="s">
        <v>530</v>
      </c>
      <c r="B41" s="383">
        <f>4190*2</f>
        <v>8380</v>
      </c>
      <c r="C41" s="417" t="s">
        <v>605</v>
      </c>
      <c r="D41" s="505" t="s">
        <v>532</v>
      </c>
    </row>
    <row r="42" spans="1:7" ht="15.75">
      <c r="A42" s="507" t="s">
        <v>47</v>
      </c>
      <c r="B42" s="492">
        <f>SUM(B31:B41)</f>
        <v>262307.6681958519</v>
      </c>
      <c r="C42" s="509"/>
      <c r="D42" s="477"/>
    </row>
    <row r="43" spans="1:7">
      <c r="A43" s="496" t="s">
        <v>48</v>
      </c>
      <c r="B43" s="487"/>
      <c r="C43" s="485"/>
      <c r="D43" s="477"/>
    </row>
    <row r="44" spans="1:7" ht="45">
      <c r="A44" s="421" t="s">
        <v>49</v>
      </c>
      <c r="B44" s="413">
        <f>(G28*100.2134*6)+(G28*104.2268)+(1.71*(B14+B13)*12)</f>
        <v>89215.544160000005</v>
      </c>
      <c r="C44" s="422" t="s">
        <v>665</v>
      </c>
      <c r="D44" s="423"/>
    </row>
    <row r="45" spans="1:7" ht="120">
      <c r="A45" s="426" t="s">
        <v>120</v>
      </c>
      <c r="B45" s="427">
        <f>17.51*(B14+B13)</f>
        <v>66917.967000000004</v>
      </c>
      <c r="C45" s="428" t="s">
        <v>722</v>
      </c>
      <c r="D45" s="377"/>
    </row>
    <row r="46" spans="1:7" ht="63">
      <c r="A46" s="456" t="s">
        <v>51</v>
      </c>
      <c r="B46" s="457">
        <f>(654.11+263.56/3)*G35/1000</f>
        <v>11641.404700000001</v>
      </c>
      <c r="C46" s="458" t="s">
        <v>666</v>
      </c>
      <c r="D46" s="459" t="s">
        <v>91</v>
      </c>
    </row>
    <row r="47" spans="1:7" ht="60">
      <c r="A47" s="430" t="s">
        <v>52</v>
      </c>
      <c r="B47" s="431">
        <f>((G27/12*6*100.2134)+(G27/12*6*104.2268))+((G27/12*6*100.2134)+(G27/12*6*104.2268))/1.302*25%</f>
        <v>58105.472337192012</v>
      </c>
      <c r="C47" s="422" t="s">
        <v>667</v>
      </c>
      <c r="D47" s="377"/>
    </row>
    <row r="48" spans="1:7" ht="15.75">
      <c r="A48" s="515" t="s">
        <v>53</v>
      </c>
      <c r="B48" s="492">
        <f>SUM(B45:B47)</f>
        <v>136664.844037192</v>
      </c>
      <c r="C48" s="509"/>
      <c r="D48" s="477"/>
    </row>
    <row r="49" spans="1:5">
      <c r="A49" s="514" t="s">
        <v>54</v>
      </c>
      <c r="B49" s="487"/>
      <c r="C49" s="485"/>
      <c r="D49" s="477"/>
    </row>
    <row r="50" spans="1:5" s="105" customFormat="1" ht="12.75">
      <c r="A50" s="118" t="s">
        <v>501</v>
      </c>
      <c r="B50" s="201"/>
      <c r="C50" s="516"/>
      <c r="D50" s="477"/>
      <c r="E50" s="499"/>
    </row>
    <row r="51" spans="1:5">
      <c r="A51" s="514" t="s">
        <v>502</v>
      </c>
      <c r="B51" s="487"/>
      <c r="C51" s="517"/>
      <c r="D51" s="477"/>
    </row>
    <row r="52" spans="1:5">
      <c r="A52" s="514" t="s">
        <v>57</v>
      </c>
      <c r="B52" s="487"/>
      <c r="C52" s="517"/>
      <c r="D52" s="477"/>
    </row>
    <row r="53" spans="1:5">
      <c r="A53" s="514" t="s">
        <v>58</v>
      </c>
      <c r="B53" s="487"/>
      <c r="C53" s="517"/>
      <c r="D53" s="477"/>
    </row>
    <row r="54" spans="1:5">
      <c r="A54" s="514" t="s">
        <v>59</v>
      </c>
      <c r="B54" s="487"/>
      <c r="C54" s="517"/>
      <c r="D54" s="477"/>
    </row>
    <row r="55" spans="1:5" ht="15.75">
      <c r="A55" s="515" t="s">
        <v>60</v>
      </c>
      <c r="B55" s="492">
        <f>B50+B51</f>
        <v>0</v>
      </c>
      <c r="C55" s="518"/>
      <c r="D55" s="477"/>
    </row>
    <row r="56" spans="1:5">
      <c r="A56" s="519" t="s">
        <v>61</v>
      </c>
      <c r="B56" s="407">
        <f>3.051*(3821.7+0)</f>
        <v>11660.0067</v>
      </c>
      <c r="C56" s="539" t="s">
        <v>668</v>
      </c>
      <c r="D56" s="477"/>
    </row>
    <row r="57" spans="1:5">
      <c r="A57" s="520" t="s">
        <v>62</v>
      </c>
      <c r="B57" s="407">
        <f>1.54*(3821.7+0)</f>
        <v>5885.4179999999997</v>
      </c>
      <c r="C57" s="540" t="s">
        <v>669</v>
      </c>
      <c r="D57" s="477"/>
    </row>
    <row r="58" spans="1:5">
      <c r="A58" s="488" t="s">
        <v>63</v>
      </c>
      <c r="B58" s="440">
        <f>(B42+B48)*0.348</f>
        <v>138842.43425709926</v>
      </c>
      <c r="C58" s="381" t="s">
        <v>514</v>
      </c>
      <c r="D58" s="477"/>
    </row>
    <row r="59" spans="1:5" ht="25.5">
      <c r="A59" s="488" t="s">
        <v>121</v>
      </c>
      <c r="B59" s="487">
        <f>(B42+B48+B55+B58)*0.132</f>
        <v>70991.572936698911</v>
      </c>
      <c r="C59" s="517" t="s">
        <v>503</v>
      </c>
      <c r="D59" s="477" t="s">
        <v>85</v>
      </c>
    </row>
    <row r="60" spans="1:5" ht="15.75">
      <c r="A60" s="441" t="s">
        <v>122</v>
      </c>
      <c r="B60" s="492">
        <f>B56+B57+B58+B59</f>
        <v>227379.43189379817</v>
      </c>
      <c r="C60" s="518"/>
      <c r="D60" s="477"/>
    </row>
    <row r="61" spans="1:5">
      <c r="A61" s="488" t="s">
        <v>64</v>
      </c>
      <c r="B61" s="487">
        <f>(B42+B48+B55+B60)*3%</f>
        <v>18790.55832380526</v>
      </c>
      <c r="C61" s="517"/>
      <c r="D61" s="477"/>
    </row>
    <row r="62" spans="1:5" ht="15.75">
      <c r="A62" s="522" t="s">
        <v>26</v>
      </c>
      <c r="B62" s="537">
        <f>B42+B48+B55+B60+B61</f>
        <v>645142.5024506473</v>
      </c>
      <c r="C62" s="524"/>
      <c r="D62" s="477"/>
    </row>
    <row r="63" spans="1:5" ht="15.75">
      <c r="A63" s="522" t="s">
        <v>65</v>
      </c>
      <c r="B63" s="537">
        <f>B62*1.2</f>
        <v>774171.00294077676</v>
      </c>
      <c r="C63" s="524"/>
      <c r="D63" s="477"/>
    </row>
    <row r="64" spans="1:5" ht="15.75">
      <c r="A64" s="525"/>
      <c r="B64" s="492">
        <f>B28-B63</f>
        <v>260126.1330592233</v>
      </c>
      <c r="C64" s="526"/>
      <c r="D64" s="477"/>
    </row>
    <row r="65" spans="1:4" ht="30">
      <c r="A65" s="527" t="s">
        <v>123</v>
      </c>
      <c r="B65" s="528">
        <f>B63/(B13+B14)/12</f>
        <v>16.881034682226424</v>
      </c>
      <c r="C65" s="529" t="s">
        <v>552</v>
      </c>
      <c r="D65" s="530"/>
    </row>
    <row r="66" spans="1:4">
      <c r="A66" s="531"/>
      <c r="B66" s="532"/>
      <c r="C66" s="533"/>
      <c r="D66" s="534"/>
    </row>
    <row r="67" spans="1:4" ht="15" customHeight="1">
      <c r="A67" s="799" t="s">
        <v>124</v>
      </c>
      <c r="B67" s="799"/>
      <c r="C67" s="799"/>
      <c r="D67" s="205"/>
    </row>
    <row r="68" spans="1:4" ht="30" customHeight="1">
      <c r="A68" s="800" t="s">
        <v>518</v>
      </c>
      <c r="B68" s="800"/>
      <c r="C68" s="800"/>
      <c r="D68" s="205"/>
    </row>
    <row r="69" spans="1:4" ht="27.75" customHeight="1">
      <c r="A69" s="800" t="s">
        <v>519</v>
      </c>
      <c r="B69" s="800"/>
      <c r="C69" s="800"/>
      <c r="D69" s="205"/>
    </row>
    <row r="70" spans="1:4" ht="25.5" customHeight="1">
      <c r="A70" s="160"/>
      <c r="B70" s="453"/>
      <c r="D70" s="205"/>
    </row>
    <row r="71" spans="1:4">
      <c r="A71" s="797" t="s">
        <v>505</v>
      </c>
      <c r="B71" s="797"/>
      <c r="C71" s="797"/>
      <c r="D71" s="205"/>
    </row>
    <row r="72" spans="1:4">
      <c r="A72" s="160"/>
      <c r="B72" s="161"/>
      <c r="C72" s="162"/>
      <c r="D72" s="205"/>
    </row>
    <row r="73" spans="1:4" ht="18.75">
      <c r="A73" s="170"/>
      <c r="B73" s="170"/>
      <c r="C73" s="170"/>
    </row>
  </sheetData>
  <mergeCells count="6">
    <mergeCell ref="A71:C71"/>
    <mergeCell ref="A9:D9"/>
    <mergeCell ref="A10:D11"/>
    <mergeCell ref="A67:C67"/>
    <mergeCell ref="A68:C68"/>
    <mergeCell ref="A69:C69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3:G74"/>
  <sheetViews>
    <sheetView workbookViewId="0">
      <selection activeCell="A11" sqref="A11:D12"/>
    </sheetView>
  </sheetViews>
  <sheetFormatPr defaultRowHeight="15"/>
  <cols>
    <col min="1" max="1" width="44.7109375" style="193" customWidth="1"/>
    <col min="2" max="2" width="14.5703125" style="193" customWidth="1"/>
    <col min="3" max="3" width="33.42578125" style="193" customWidth="1"/>
    <col min="4" max="4" width="17" style="162" customWidth="1"/>
    <col min="5" max="5" width="2.7109375" style="162" hidden="1" customWidth="1"/>
    <col min="6" max="6" width="26.7109375" style="162" hidden="1" customWidth="1"/>
    <col min="7" max="7" width="8.42578125" style="162" hidden="1" customWidth="1"/>
    <col min="8" max="8" width="0" style="162" hidden="1" customWidth="1"/>
    <col min="9" max="16384" width="9.140625" style="162"/>
  </cols>
  <sheetData>
    <row r="3" spans="1:4" ht="15.75">
      <c r="C3" s="465" t="s">
        <v>0</v>
      </c>
      <c r="D3" s="194"/>
    </row>
    <row r="4" spans="1:4" ht="15.75">
      <c r="C4" s="465" t="s">
        <v>216</v>
      </c>
      <c r="D4" s="194"/>
    </row>
    <row r="5" spans="1:4" ht="15.75">
      <c r="C5" s="465" t="s">
        <v>189</v>
      </c>
      <c r="D5" s="194"/>
    </row>
    <row r="6" spans="1:4" ht="15.75">
      <c r="C6" s="465"/>
      <c r="D6" s="194"/>
    </row>
    <row r="7" spans="1:4" ht="15.75">
      <c r="C7" s="465" t="s">
        <v>217</v>
      </c>
      <c r="D7" s="194"/>
    </row>
    <row r="8" spans="1:4" ht="15.75">
      <c r="C8" s="70"/>
    </row>
    <row r="9" spans="1:4" ht="15.75">
      <c r="C9" s="70"/>
    </row>
    <row r="10" spans="1:4" ht="32.25" customHeight="1">
      <c r="A10" s="798" t="s">
        <v>478</v>
      </c>
      <c r="B10" s="798"/>
      <c r="C10" s="798"/>
      <c r="D10" s="798"/>
    </row>
    <row r="11" spans="1:4" ht="15" customHeight="1">
      <c r="A11" s="798" t="s">
        <v>553</v>
      </c>
      <c r="B11" s="798"/>
      <c r="C11" s="798"/>
      <c r="D11" s="798"/>
    </row>
    <row r="12" spans="1:4" ht="32.25" customHeight="1">
      <c r="A12" s="798"/>
      <c r="B12" s="798"/>
      <c r="C12" s="798"/>
      <c r="D12" s="798"/>
    </row>
    <row r="13" spans="1:4" ht="15.75">
      <c r="A13" s="73"/>
      <c r="B13" s="73"/>
      <c r="C13" s="73"/>
    </row>
    <row r="14" spans="1:4" ht="15.75">
      <c r="A14" s="74" t="s">
        <v>2</v>
      </c>
      <c r="B14" s="76">
        <f>G18</f>
        <v>3566.2</v>
      </c>
      <c r="C14" s="76" t="s">
        <v>527</v>
      </c>
    </row>
    <row r="15" spans="1:4" s="469" customFormat="1" ht="15.75">
      <c r="A15" s="77" t="s">
        <v>3</v>
      </c>
      <c r="B15" s="195">
        <v>0</v>
      </c>
      <c r="C15" s="79"/>
    </row>
    <row r="16" spans="1:4" s="469" customFormat="1" ht="15.75">
      <c r="A16" s="77"/>
      <c r="B16" s="195"/>
      <c r="C16" s="79"/>
    </row>
    <row r="17" spans="1:7" ht="31.5">
      <c r="A17" s="471" t="s">
        <v>4</v>
      </c>
      <c r="B17" s="472" t="s">
        <v>5</v>
      </c>
      <c r="C17" s="472" t="s">
        <v>661</v>
      </c>
      <c r="D17" s="473" t="s">
        <v>84</v>
      </c>
      <c r="F17" s="253" t="s">
        <v>132</v>
      </c>
      <c r="G17" s="254">
        <v>13.42</v>
      </c>
    </row>
    <row r="18" spans="1:7">
      <c r="A18" s="474" t="s">
        <v>7</v>
      </c>
      <c r="B18" s="475">
        <f>B14*G17*12</f>
        <v>574300.848</v>
      </c>
      <c r="C18" s="481" t="s">
        <v>670</v>
      </c>
      <c r="D18" s="477" t="s">
        <v>85</v>
      </c>
      <c r="F18" s="259" t="s">
        <v>134</v>
      </c>
      <c r="G18" s="260">
        <v>3566.2</v>
      </c>
    </row>
    <row r="19" spans="1:7">
      <c r="A19" s="535" t="s">
        <v>9</v>
      </c>
      <c r="B19" s="487">
        <v>0</v>
      </c>
      <c r="C19" s="503"/>
      <c r="D19" s="477"/>
      <c r="F19" s="259" t="s">
        <v>135</v>
      </c>
      <c r="G19" s="260">
        <v>80</v>
      </c>
    </row>
    <row r="20" spans="1:7" ht="15.75">
      <c r="A20" s="95" t="s">
        <v>12</v>
      </c>
      <c r="B20" s="487">
        <f>B18+B19</f>
        <v>574300.848</v>
      </c>
      <c r="C20" s="485"/>
      <c r="D20" s="477"/>
      <c r="F20" s="259" t="s">
        <v>136</v>
      </c>
      <c r="G20" s="260">
        <v>200</v>
      </c>
    </row>
    <row r="21" spans="1:7">
      <c r="A21" s="486" t="s">
        <v>13</v>
      </c>
      <c r="B21" s="487">
        <f>B22+B23+B24+B25+B26+B27</f>
        <v>4770</v>
      </c>
      <c r="C21" s="485"/>
      <c r="D21" s="477"/>
      <c r="F21" s="247" t="s">
        <v>459</v>
      </c>
      <c r="G21" s="248">
        <v>1</v>
      </c>
    </row>
    <row r="22" spans="1:7">
      <c r="A22" s="488" t="s">
        <v>14</v>
      </c>
      <c r="B22" s="487">
        <f>34.98*12*0</f>
        <v>0</v>
      </c>
      <c r="C22" s="485" t="s">
        <v>15</v>
      </c>
      <c r="D22" s="477" t="s">
        <v>85</v>
      </c>
      <c r="F22" s="259" t="s">
        <v>139</v>
      </c>
      <c r="G22" s="260">
        <v>1140</v>
      </c>
    </row>
    <row r="23" spans="1:7">
      <c r="A23" s="488" t="s">
        <v>16</v>
      </c>
      <c r="B23" s="487">
        <f>137.5*12*0</f>
        <v>0</v>
      </c>
      <c r="C23" s="485" t="s">
        <v>17</v>
      </c>
      <c r="D23" s="477" t="s">
        <v>85</v>
      </c>
      <c r="F23" s="259" t="s">
        <v>140</v>
      </c>
      <c r="G23" s="260">
        <v>0</v>
      </c>
    </row>
    <row r="24" spans="1:7">
      <c r="A24" s="488" t="s">
        <v>18</v>
      </c>
      <c r="B24" s="487">
        <f>123.75*12</f>
        <v>1485</v>
      </c>
      <c r="C24" s="485" t="s">
        <v>19</v>
      </c>
      <c r="D24" s="477" t="s">
        <v>85</v>
      </c>
      <c r="F24" s="259" t="s">
        <v>141</v>
      </c>
      <c r="G24" s="260">
        <v>0</v>
      </c>
    </row>
    <row r="25" spans="1:7">
      <c r="A25" s="488" t="s">
        <v>20</v>
      </c>
      <c r="B25" s="487">
        <f>123.75*12</f>
        <v>1485</v>
      </c>
      <c r="C25" s="485" t="s">
        <v>19</v>
      </c>
      <c r="D25" s="477" t="s">
        <v>85</v>
      </c>
      <c r="F25" s="259" t="s">
        <v>142</v>
      </c>
      <c r="G25" s="260">
        <v>952</v>
      </c>
    </row>
    <row r="26" spans="1:7">
      <c r="A26" s="488" t="s">
        <v>66</v>
      </c>
      <c r="B26" s="487">
        <f>150*12</f>
        <v>1800</v>
      </c>
      <c r="C26" s="485" t="s">
        <v>21</v>
      </c>
      <c r="D26" s="477" t="s">
        <v>85</v>
      </c>
      <c r="F26" s="259" t="s">
        <v>143</v>
      </c>
      <c r="G26" s="277">
        <v>2315</v>
      </c>
    </row>
    <row r="27" spans="1:7">
      <c r="A27" s="488" t="s">
        <v>22</v>
      </c>
      <c r="B27" s="487">
        <f>137.5*12*0</f>
        <v>0</v>
      </c>
      <c r="C27" s="485" t="s">
        <v>17</v>
      </c>
      <c r="D27" s="477" t="s">
        <v>85</v>
      </c>
      <c r="F27" s="259" t="s">
        <v>144</v>
      </c>
      <c r="G27" s="278">
        <v>0</v>
      </c>
    </row>
    <row r="28" spans="1:7">
      <c r="A28" s="486" t="s">
        <v>24</v>
      </c>
      <c r="B28" s="487">
        <v>0</v>
      </c>
      <c r="C28" s="489"/>
      <c r="D28" s="490"/>
      <c r="F28" s="259" t="s">
        <v>145</v>
      </c>
      <c r="G28" s="278">
        <v>507.52</v>
      </c>
    </row>
    <row r="29" spans="1:7" ht="18.75">
      <c r="A29" s="491" t="s">
        <v>26</v>
      </c>
      <c r="B29" s="492">
        <f>B20+B21+B28</f>
        <v>579070.848</v>
      </c>
      <c r="C29" s="489"/>
      <c r="D29" s="490"/>
      <c r="F29" s="259" t="s">
        <v>460</v>
      </c>
      <c r="G29" s="278">
        <v>11.32</v>
      </c>
    </row>
    <row r="30" spans="1:7" ht="15.75">
      <c r="A30" s="493" t="s">
        <v>27</v>
      </c>
      <c r="B30" s="100" t="s">
        <v>5</v>
      </c>
      <c r="C30" s="197" t="s">
        <v>28</v>
      </c>
      <c r="D30" s="490"/>
      <c r="F30" s="259" t="s">
        <v>461</v>
      </c>
      <c r="G30" s="278">
        <f>(G25/3+G26)/2920</f>
        <v>0.90148401826484026</v>
      </c>
    </row>
    <row r="31" spans="1:7">
      <c r="A31" s="494" t="s">
        <v>29</v>
      </c>
      <c r="B31" s="487"/>
      <c r="C31" s="495"/>
      <c r="D31" s="490"/>
      <c r="F31" s="259" t="s">
        <v>148</v>
      </c>
      <c r="G31" s="278">
        <v>0</v>
      </c>
    </row>
    <row r="32" spans="1:7" ht="80.25" customHeight="1">
      <c r="A32" s="496" t="s">
        <v>30</v>
      </c>
      <c r="B32" s="340">
        <f>(G30*(3708+200)*1.5*1.15*1.083*1.302*6)+G30*((3708+200)*1.5*1.15*1.083*1.302*6)+(0.104*G25*12)</f>
        <v>104018.69679457891</v>
      </c>
      <c r="C32" s="341" t="s">
        <v>671</v>
      </c>
      <c r="D32" s="288" t="s">
        <v>86</v>
      </c>
      <c r="F32" s="259" t="s">
        <v>149</v>
      </c>
      <c r="G32" s="279">
        <v>0</v>
      </c>
    </row>
    <row r="33" spans="1:7" ht="30">
      <c r="A33" s="287" t="s">
        <v>31</v>
      </c>
      <c r="B33" s="342">
        <f>(G32*9921.13*6)+(G32*10317.11*6)</f>
        <v>0</v>
      </c>
      <c r="C33" s="343" t="s">
        <v>509</v>
      </c>
      <c r="D33" s="258"/>
      <c r="F33" s="247" t="s">
        <v>151</v>
      </c>
      <c r="G33" s="279">
        <v>5</v>
      </c>
    </row>
    <row r="34" spans="1:7" ht="45">
      <c r="A34" s="287" t="s">
        <v>32</v>
      </c>
      <c r="B34" s="498">
        <f>(G31*9921.13*6)+(G31*10317.11*6)+(G19*10.41812*12)*G24</f>
        <v>0</v>
      </c>
      <c r="C34" s="344" t="s">
        <v>672</v>
      </c>
      <c r="D34" s="258"/>
      <c r="F34" s="247" t="s">
        <v>462</v>
      </c>
      <c r="G34" s="279">
        <v>1026</v>
      </c>
    </row>
    <row r="35" spans="1:7">
      <c r="A35" s="287" t="s">
        <v>34</v>
      </c>
      <c r="B35" s="345">
        <f>(16.06+16.7)*G19</f>
        <v>2620.7999999999997</v>
      </c>
      <c r="C35" s="346" t="s">
        <v>468</v>
      </c>
      <c r="D35" s="258" t="s">
        <v>88</v>
      </c>
      <c r="F35" s="285" t="s">
        <v>463</v>
      </c>
      <c r="G35" s="286">
        <v>1026</v>
      </c>
    </row>
    <row r="36" spans="1:7" ht="30">
      <c r="A36" s="291" t="s">
        <v>35</v>
      </c>
      <c r="B36" s="554">
        <f>(49.72+51.71)*2*0</f>
        <v>0</v>
      </c>
      <c r="C36" s="555" t="s">
        <v>469</v>
      </c>
      <c r="D36" s="258"/>
      <c r="F36" s="289" t="s">
        <v>464</v>
      </c>
      <c r="G36" s="290">
        <v>13774</v>
      </c>
    </row>
    <row r="37" spans="1:7">
      <c r="A37" s="417" t="s">
        <v>36</v>
      </c>
      <c r="B37" s="413">
        <f>0.25*G34*12</f>
        <v>3078</v>
      </c>
      <c r="C37" s="385" t="s">
        <v>673</v>
      </c>
      <c r="D37" s="258" t="s">
        <v>85</v>
      </c>
      <c r="F37" s="247" t="s">
        <v>465</v>
      </c>
      <c r="G37" s="279">
        <v>1</v>
      </c>
    </row>
    <row r="38" spans="1:7">
      <c r="A38" s="417" t="s">
        <v>37</v>
      </c>
      <c r="B38" s="413">
        <f>2.34*G34*4</f>
        <v>9603.3599999999988</v>
      </c>
      <c r="C38" s="385" t="s">
        <v>555</v>
      </c>
      <c r="D38" s="258" t="s">
        <v>89</v>
      </c>
      <c r="F38" s="247" t="s">
        <v>467</v>
      </c>
      <c r="G38" s="279">
        <v>2</v>
      </c>
    </row>
    <row r="39" spans="1:7">
      <c r="A39" s="417" t="s">
        <v>158</v>
      </c>
      <c r="B39" s="413">
        <f>317.21*12</f>
        <v>3806.5199999999995</v>
      </c>
      <c r="C39" s="385" t="s">
        <v>707</v>
      </c>
      <c r="D39" s="377"/>
      <c r="F39" s="552"/>
      <c r="G39" s="553"/>
    </row>
    <row r="40" spans="1:7" ht="45">
      <c r="A40" s="417" t="s">
        <v>67</v>
      </c>
      <c r="B40" s="381">
        <f>(635.59*6+661.01*6)*G37</f>
        <v>7779.6</v>
      </c>
      <c r="C40" s="385" t="s">
        <v>496</v>
      </c>
      <c r="D40" s="377" t="s">
        <v>85</v>
      </c>
      <c r="F40" s="61"/>
    </row>
    <row r="41" spans="1:7" ht="30">
      <c r="A41" s="556" t="s">
        <v>190</v>
      </c>
      <c r="B41" s="557">
        <f>(466.1*6+484.74*6)*G21</f>
        <v>5705.0400000000009</v>
      </c>
      <c r="C41" s="558" t="s">
        <v>497</v>
      </c>
      <c r="D41" s="377" t="s">
        <v>85</v>
      </c>
      <c r="F41" s="61"/>
    </row>
    <row r="42" spans="1:7" ht="15.75">
      <c r="A42" s="507" t="s">
        <v>47</v>
      </c>
      <c r="B42" s="492">
        <f>SUM(B32:B41)</f>
        <v>136612.01679457893</v>
      </c>
      <c r="C42" s="509"/>
      <c r="D42" s="477"/>
    </row>
    <row r="43" spans="1:7" s="111" customFormat="1" ht="12.75">
      <c r="A43" s="496" t="s">
        <v>48</v>
      </c>
      <c r="B43" s="487"/>
      <c r="C43" s="485"/>
      <c r="D43" s="477"/>
    </row>
    <row r="44" spans="1:7" ht="60">
      <c r="A44" s="421" t="s">
        <v>49</v>
      </c>
      <c r="B44" s="413">
        <f>(G29*100.2134*6)+(G29*104.2268)+(1.71*(B15+B14)*12)</f>
        <v>81164.765503999995</v>
      </c>
      <c r="C44" s="422" t="s">
        <v>674</v>
      </c>
      <c r="D44" s="423"/>
    </row>
    <row r="45" spans="1:7">
      <c r="A45" s="416" t="s">
        <v>50</v>
      </c>
      <c r="B45" s="407">
        <f>15.92*1140</f>
        <v>18148.8</v>
      </c>
      <c r="C45" s="424" t="s">
        <v>675</v>
      </c>
      <c r="D45" s="425" t="s">
        <v>90</v>
      </c>
    </row>
    <row r="46" spans="1:7" ht="120">
      <c r="A46" s="426" t="s">
        <v>120</v>
      </c>
      <c r="B46" s="427">
        <f>17.51*(B15+B14)</f>
        <v>62444.162000000004</v>
      </c>
      <c r="C46" s="428" t="s">
        <v>676</v>
      </c>
      <c r="D46" s="377"/>
    </row>
    <row r="47" spans="1:7" ht="65.25" customHeight="1">
      <c r="A47" s="456" t="s">
        <v>51</v>
      </c>
      <c r="B47" s="457">
        <f>(654.11+263.56/3)*G36/1000</f>
        <v>10219.802953333334</v>
      </c>
      <c r="C47" s="458" t="s">
        <v>677</v>
      </c>
      <c r="D47" s="459" t="s">
        <v>91</v>
      </c>
    </row>
    <row r="48" spans="1:7" ht="75">
      <c r="A48" s="430" t="s">
        <v>52</v>
      </c>
      <c r="B48" s="431">
        <f>((G28/12*6*100.2134)+(G28/12*6*104.2268))+((G28/12*6*100.2134)+(G28/12*6*104.2268))/1.302*25%</f>
        <v>61840.101748006142</v>
      </c>
      <c r="C48" s="422" t="s">
        <v>678</v>
      </c>
      <c r="D48" s="377"/>
    </row>
    <row r="49" spans="1:6" ht="15.75">
      <c r="A49" s="515" t="s">
        <v>53</v>
      </c>
      <c r="B49" s="492">
        <f>SUM(B45:B48)</f>
        <v>152652.86670133949</v>
      </c>
      <c r="C49" s="509"/>
      <c r="D49" s="477"/>
    </row>
    <row r="50" spans="1:6">
      <c r="A50" s="514" t="s">
        <v>54</v>
      </c>
      <c r="B50" s="487"/>
      <c r="C50" s="485"/>
      <c r="D50" s="477"/>
    </row>
    <row r="51" spans="1:6" s="105" customFormat="1" ht="12.75">
      <c r="A51" s="118" t="s">
        <v>501</v>
      </c>
      <c r="B51" s="201"/>
      <c r="C51" s="516"/>
      <c r="D51" s="477"/>
    </row>
    <row r="52" spans="1:6">
      <c r="A52" s="514" t="s">
        <v>502</v>
      </c>
      <c r="B52" s="487"/>
      <c r="C52" s="517"/>
      <c r="D52" s="477"/>
    </row>
    <row r="53" spans="1:6">
      <c r="A53" s="514" t="s">
        <v>57</v>
      </c>
      <c r="B53" s="487"/>
      <c r="C53" s="517"/>
      <c r="D53" s="477"/>
    </row>
    <row r="54" spans="1:6">
      <c r="A54" s="514" t="s">
        <v>58</v>
      </c>
      <c r="B54" s="487"/>
      <c r="C54" s="517"/>
      <c r="D54" s="477"/>
    </row>
    <row r="55" spans="1:6">
      <c r="A55" s="514" t="s">
        <v>59</v>
      </c>
      <c r="B55" s="487"/>
      <c r="C55" s="517"/>
      <c r="D55" s="477"/>
    </row>
    <row r="56" spans="1:6" ht="15.75">
      <c r="A56" s="515" t="s">
        <v>60</v>
      </c>
      <c r="B56" s="492">
        <f>B51+B52</f>
        <v>0</v>
      </c>
      <c r="C56" s="518"/>
      <c r="D56" s="477"/>
    </row>
    <row r="57" spans="1:6">
      <c r="A57" s="519" t="s">
        <v>61</v>
      </c>
      <c r="B57" s="407">
        <f>3.051*(B15+B14)</f>
        <v>10880.476199999999</v>
      </c>
      <c r="C57" s="539" t="s">
        <v>634</v>
      </c>
      <c r="D57" s="477"/>
    </row>
    <row r="58" spans="1:6" ht="15.75">
      <c r="A58" s="520" t="s">
        <v>62</v>
      </c>
      <c r="B58" s="407">
        <f>1.54*(B15+B14)</f>
        <v>5491.9479999999994</v>
      </c>
      <c r="C58" s="540" t="s">
        <v>635</v>
      </c>
      <c r="D58" s="477"/>
      <c r="F58" s="521"/>
    </row>
    <row r="59" spans="1:6">
      <c r="A59" s="488" t="s">
        <v>63</v>
      </c>
      <c r="B59" s="440">
        <f>(+B49)*0.348</f>
        <v>53123.197612066135</v>
      </c>
      <c r="C59" s="381" t="s">
        <v>514</v>
      </c>
      <c r="D59" s="477"/>
    </row>
    <row r="60" spans="1:6" ht="38.25">
      <c r="A60" s="488" t="s">
        <v>121</v>
      </c>
      <c r="B60" s="487">
        <f>(B42+B49+B56+B59)*0.132</f>
        <v>45195.226706253961</v>
      </c>
      <c r="C60" s="517" t="s">
        <v>503</v>
      </c>
      <c r="D60" s="477" t="s">
        <v>85</v>
      </c>
    </row>
    <row r="61" spans="1:6" ht="15.75">
      <c r="A61" s="441" t="s">
        <v>122</v>
      </c>
      <c r="B61" s="492">
        <f>B57+B58+B59+B60</f>
        <v>114690.8485183201</v>
      </c>
      <c r="C61" s="518"/>
      <c r="D61" s="477"/>
    </row>
    <row r="62" spans="1:6">
      <c r="A62" s="488" t="s">
        <v>64</v>
      </c>
      <c r="B62" s="487">
        <f>(B42+B49+B56+B61)*3%</f>
        <v>12118.671960427155</v>
      </c>
      <c r="C62" s="517"/>
      <c r="D62" s="477"/>
    </row>
    <row r="63" spans="1:6" ht="15.75">
      <c r="A63" s="522" t="s">
        <v>26</v>
      </c>
      <c r="B63" s="537">
        <f>B42+B49+B56+B61+B62</f>
        <v>416074.40397466562</v>
      </c>
      <c r="C63" s="524"/>
      <c r="D63" s="477"/>
    </row>
    <row r="64" spans="1:6" ht="15.75">
      <c r="A64" s="522" t="s">
        <v>65</v>
      </c>
      <c r="B64" s="537">
        <f>B63*1.2</f>
        <v>499289.28476959874</v>
      </c>
      <c r="C64" s="524"/>
      <c r="D64" s="477"/>
    </row>
    <row r="65" spans="1:4" ht="15.75">
      <c r="A65" s="525"/>
      <c r="B65" s="492">
        <f>B29-B64</f>
        <v>79781.563230401254</v>
      </c>
      <c r="C65" s="526"/>
      <c r="D65" s="477"/>
    </row>
    <row r="66" spans="1:4" ht="30">
      <c r="A66" s="527" t="s">
        <v>123</v>
      </c>
      <c r="B66" s="528">
        <f>B64/(B14+B15)/12</f>
        <v>11.667164039444385</v>
      </c>
      <c r="C66" s="529" t="s">
        <v>556</v>
      </c>
      <c r="D66" s="530"/>
    </row>
    <row r="67" spans="1:4">
      <c r="A67" s="531"/>
      <c r="B67" s="532"/>
      <c r="C67" s="533"/>
      <c r="D67" s="534"/>
    </row>
    <row r="68" spans="1:4" ht="15" customHeight="1">
      <c r="A68" s="799" t="s">
        <v>124</v>
      </c>
      <c r="B68" s="799"/>
      <c r="C68" s="799"/>
      <c r="D68" s="205"/>
    </row>
    <row r="69" spans="1:4" ht="30" customHeight="1">
      <c r="A69" s="800" t="s">
        <v>518</v>
      </c>
      <c r="B69" s="800"/>
      <c r="C69" s="800"/>
      <c r="D69" s="205"/>
    </row>
    <row r="70" spans="1:4" ht="27.75" customHeight="1">
      <c r="A70" s="800" t="s">
        <v>519</v>
      </c>
      <c r="B70" s="800"/>
      <c r="C70" s="800"/>
      <c r="D70" s="205"/>
    </row>
    <row r="71" spans="1:4" ht="25.5" customHeight="1">
      <c r="A71" s="160"/>
      <c r="B71" s="453"/>
      <c r="D71" s="205"/>
    </row>
    <row r="72" spans="1:4">
      <c r="A72" s="797" t="s">
        <v>505</v>
      </c>
      <c r="B72" s="797"/>
      <c r="C72" s="797"/>
      <c r="D72" s="205"/>
    </row>
    <row r="73" spans="1:4">
      <c r="A73" s="160"/>
      <c r="B73" s="161"/>
      <c r="C73" s="162"/>
      <c r="D73" s="205"/>
    </row>
    <row r="74" spans="1:4" ht="18.75">
      <c r="A74" s="170"/>
      <c r="B74" s="170"/>
      <c r="C74" s="170"/>
    </row>
  </sheetData>
  <mergeCells count="6">
    <mergeCell ref="A72:C72"/>
    <mergeCell ref="A10:D10"/>
    <mergeCell ref="A11:D12"/>
    <mergeCell ref="A68:C68"/>
    <mergeCell ref="A69:C69"/>
    <mergeCell ref="A70:C70"/>
  </mergeCells>
  <pageMargins left="0.51181102362204722" right="0.11811023622047245" top="0.15748031496062992" bottom="0.15748031496062992" header="0.15748031496062992" footer="0.15748031496062992"/>
  <pageSetup paperSize="9" scale="85"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54</vt:i4>
      </vt:variant>
    </vt:vector>
  </HeadingPairs>
  <TitlesOfParts>
    <vt:vector size="54" baseType="lpstr">
      <vt:lpstr>а.ушак 84</vt:lpstr>
      <vt:lpstr>а.ушак 86</vt:lpstr>
      <vt:lpstr>а.ушак 86.1</vt:lpstr>
      <vt:lpstr>а.ушак 86.2</vt:lpstr>
      <vt:lpstr>а.ушак 88</vt:lpstr>
      <vt:lpstr>а.ушак 88.1</vt:lpstr>
      <vt:lpstr>а.ушак 90</vt:lpstr>
      <vt:lpstr>а.ушак 90.1</vt:lpstr>
      <vt:lpstr>бх 67</vt:lpstr>
      <vt:lpstr>бх 68</vt:lpstr>
      <vt:lpstr>бх 69</vt:lpstr>
      <vt:lpstr>бх 70</vt:lpstr>
      <vt:lpstr>бх 71</vt:lpstr>
      <vt:lpstr>бх 71.1</vt:lpstr>
      <vt:lpstr>бх 88.1</vt:lpstr>
      <vt:lpstr>вол 52</vt:lpstr>
      <vt:lpstr>Вол 54</vt:lpstr>
      <vt:lpstr>вол 56</vt:lpstr>
      <vt:lpstr>вол 58</vt:lpstr>
      <vt:lpstr>вол 77</vt:lpstr>
      <vt:lpstr>вол 81.1</vt:lpstr>
      <vt:lpstr>Волог.81,2</vt:lpstr>
      <vt:lpstr>Кольц.191</vt:lpstr>
      <vt:lpstr>Волог.79+достр.</vt:lpstr>
      <vt:lpstr>Волог.81</vt:lpstr>
      <vt:lpstr>Кольц.185</vt:lpstr>
      <vt:lpstr>Кольц.185,1</vt:lpstr>
      <vt:lpstr>Кольц.187</vt:lpstr>
      <vt:lpstr>Кольц.189</vt:lpstr>
      <vt:lpstr>Кольц.195</vt:lpstr>
      <vt:lpstr>Кольц.197</vt:lpstr>
      <vt:lpstr>Кольц. 197</vt:lpstr>
      <vt:lpstr>Кольц. 201.1</vt:lpstr>
      <vt:lpstr>Кольц.201.2</vt:lpstr>
      <vt:lpstr>Кольц.201,4</vt:lpstr>
      <vt:lpstr>Кольц.203,1</vt:lpstr>
      <vt:lpstr>Кольц.205</vt:lpstr>
      <vt:lpstr>Кольц.205,1</vt:lpstr>
      <vt:lpstr>Кольц.205,2</vt:lpstr>
      <vt:lpstr>Кольц.207</vt:lpstr>
      <vt:lpstr>Коммун.58</vt:lpstr>
      <vt:lpstr>Коммун.59</vt:lpstr>
      <vt:lpstr>Коммун.59,1</vt:lpstr>
      <vt:lpstr>Коммун.60</vt:lpstr>
      <vt:lpstr>Коммун.62</vt:lpstr>
      <vt:lpstr>Коммун.66</vt:lpstr>
      <vt:lpstr>Коммун.66,2+достр.</vt:lpstr>
      <vt:lpstr>коммун. 67</vt:lpstr>
      <vt:lpstr>Коммун.69</vt:lpstr>
      <vt:lpstr>Коммун.69,1</vt:lpstr>
      <vt:lpstr>Коммун.69,2</vt:lpstr>
      <vt:lpstr>Коммун.71,1</vt:lpstr>
      <vt:lpstr>Коммун.75</vt:lpstr>
      <vt:lpstr>Суворова72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User</cp:lastModifiedBy>
  <cp:lastPrinted>2019-03-31T09:00:45Z</cp:lastPrinted>
  <dcterms:created xsi:type="dcterms:W3CDTF">2014-02-17T14:18:46Z</dcterms:created>
  <dcterms:modified xsi:type="dcterms:W3CDTF">2019-03-31T09:02:05Z</dcterms:modified>
</cp:coreProperties>
</file>